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320" windowHeight="12120" activeTab="0"/>
  </bookViews>
  <sheets>
    <sheet name="Cover" sheetId="1" r:id="rId1"/>
    <sheet name="PIPrograms" sheetId="2" r:id="rId2"/>
    <sheet name="AnnualDischarges" sheetId="3" r:id="rId3"/>
    <sheet name="NonemployedTable" sheetId="4" r:id="rId4"/>
    <sheet name="NonemployedFig" sheetId="5" r:id="rId5"/>
    <sheet name="Distortions" sheetId="6" r:id="rId6"/>
    <sheet name="Summary" sheetId="7" r:id="rId7"/>
    <sheet name="Fredconnect" sheetId="8" r:id="rId8"/>
    <sheet name="mortmetrics" sheetId="9" r:id="rId9"/>
    <sheet name="otherloans" sheetId="10" r:id="rId10"/>
    <sheet name="GovPrograms" sheetId="11" r:id="rId11"/>
    <sheet name="inclusion" sheetId="12" r:id="rId12"/>
  </sheets>
  <definedNames>
    <definedName name="chartdatesq">OFFSET('Summary'!$A$10,0,0,'Summary'!$A$4)</definedName>
  </definedNames>
  <calcPr fullCalcOnLoad="1"/>
</workbook>
</file>

<file path=xl/sharedStrings.xml><?xml version="1.0" encoding="utf-8"?>
<sst xmlns="http://schemas.openxmlformats.org/spreadsheetml/2006/main" count="241" uniqueCount="154">
  <si>
    <t>lin</t>
  </si>
  <si>
    <t>Board of Governors of the Federal Reserve System</t>
  </si>
  <si>
    <t>Q</t>
  </si>
  <si>
    <t>date</t>
  </si>
  <si>
    <t>value</t>
  </si>
  <si>
    <t>CORSFRMACBS</t>
  </si>
  <si>
    <t>CORCACBS</t>
  </si>
  <si>
    <t>Quarterly</t>
  </si>
  <si>
    <t>Percent</t>
  </si>
  <si>
    <t>1985-01-01 to 2011-04-01</t>
  </si>
  <si>
    <t>Charge-Off Rate On Single Family Residential Mortgages, Booked In Domestic Offices, All Commercial Banks</t>
  </si>
  <si>
    <t>1991-01-01 to 2011-04-01</t>
  </si>
  <si>
    <t>Charge-Off Rate On Consumer Loans, All Commercial Banks</t>
  </si>
  <si>
    <t>Millions of Dollars</t>
  </si>
  <si>
    <t>ATAIEALLGSRESFRMACB</t>
  </si>
  <si>
    <t>ACLACB</t>
  </si>
  <si>
    <t>Single family mortgages</t>
  </si>
  <si>
    <t>Consumer Loans</t>
  </si>
  <si>
    <t>Consumer Loans, All Commercial Banks</t>
  </si>
  <si>
    <t>Total Assets Interest-Earning, All Loans And Leases, Gross, Secured By Real Estate, Single-Family (1-4 Family) Residential Mortgages, Booked In Domestic Offices, All Commercial Banks</t>
  </si>
  <si>
    <t>OCC and OTS Mortgage Metrics Report</t>
  </si>
  <si>
    <t>quarter</t>
  </si>
  <si>
    <t>Short Sales &amp; Deed-in-lieu</t>
  </si>
  <si>
    <t>New Loan Mods and Payment Plans</t>
  </si>
  <si>
    <t>Combined</t>
  </si>
  <si>
    <t>Universe</t>
  </si>
  <si>
    <t>share of all US mortgages</t>
  </si>
  <si>
    <t>millions of loans</t>
  </si>
  <si>
    <t>agg principal balance (trillions)</t>
  </si>
  <si>
    <t>Modification Value</t>
  </si>
  <si>
    <t>dollars per month</t>
  </si>
  <si>
    <t>number of months</t>
  </si>
  <si>
    <t>annual discount rate</t>
  </si>
  <si>
    <t>monthly discount rate</t>
  </si>
  <si>
    <t>number of transactions</t>
  </si>
  <si>
    <t>flow value for universe</t>
  </si>
  <si>
    <t>Modification or payment plan</t>
  </si>
  <si>
    <t>"Home Retention" Transactions</t>
  </si>
  <si>
    <t>Total Transactions</t>
  </si>
  <si>
    <t>Short Sales + Deed-in-lieu</t>
  </si>
  <si>
    <t>Discharge Amount, $ billion</t>
  </si>
  <si>
    <t>Other Consumer Loans</t>
  </si>
  <si>
    <t>NA</t>
  </si>
  <si>
    <t>Table</t>
  </si>
  <si>
    <t>Commercial Bank Loans</t>
  </si>
  <si>
    <t>$ Millions Outstanding</t>
  </si>
  <si>
    <t>Discharge Rate, annualized</t>
  </si>
  <si>
    <t>$ Millions Discharged, quarterly rates</t>
  </si>
  <si>
    <t>Federal</t>
  </si>
  <si>
    <t>UI</t>
  </si>
  <si>
    <t>line 7</t>
  </si>
  <si>
    <t>line 21</t>
  </si>
  <si>
    <t>line 23</t>
  </si>
  <si>
    <t>line 35</t>
  </si>
  <si>
    <t>line 36</t>
  </si>
  <si>
    <t>line 37</t>
  </si>
  <si>
    <t>line 38</t>
  </si>
  <si>
    <t>line 39</t>
  </si>
  <si>
    <t>SNAP</t>
  </si>
  <si>
    <t>SSI</t>
  </si>
  <si>
    <t>line 33</t>
  </si>
  <si>
    <t>State &amp; Local</t>
  </si>
  <si>
    <t>Medicaid</t>
  </si>
  <si>
    <t>Family Assistance</t>
  </si>
  <si>
    <t>General Assistance</t>
  </si>
  <si>
    <t>Energy Assistance</t>
  </si>
  <si>
    <t>Other</t>
  </si>
  <si>
    <t>BEA Table 3.12 U, $ millions SAAR</t>
  </si>
  <si>
    <t>average</t>
  </si>
  <si>
    <t>Nonelderly benefits, $ millions SAAR</t>
  </si>
  <si>
    <t>TOTAL</t>
  </si>
  <si>
    <t>percentage of benefits going to elderly</t>
  </si>
  <si>
    <t>100-avg</t>
  </si>
  <si>
    <t>beneficiaries from DOL "Characteristics of the Insured Unemployed"</t>
  </si>
  <si>
    <t>pro-rated share of benefits for ages 60+ from Tables 3.5 in SNAP Characteristics</t>
  </si>
  <si>
    <t>Inclusion factors</t>
  </si>
  <si>
    <t>http://www.socialsecurity.gov/policy/docs/statcomps/ssi_asr/2010/</t>
  </si>
  <si>
    <t>https://www.cms.gov/MedicareMedicaidStatSupp/downloads/2010Medicaid.zip, Table 13.10</t>
  </si>
  <si>
    <t>in-kind factor</t>
  </si>
  <si>
    <t>inclusion factor</t>
  </si>
  <si>
    <t>3.1</t>
  </si>
  <si>
    <t>Program</t>
  </si>
  <si>
    <t>Unemployment Insurance</t>
  </si>
  <si>
    <t>Supplemental Nutrition Assistance Program</t>
  </si>
  <si>
    <t>Supplemental Security Income</t>
  </si>
  <si>
    <t>State and Local</t>
  </si>
  <si>
    <t>PCE deflator</t>
  </si>
  <si>
    <t>PCECTPI</t>
  </si>
  <si>
    <t>Personal Consumption Expenditures: Chain-type Price Index</t>
  </si>
  <si>
    <t>U.S. Department of Commerce: Bureau of Economic Analysis</t>
  </si>
  <si>
    <t>Index 2005=100</t>
  </si>
  <si>
    <t>1947-01-01 to 2011-07-01</t>
  </si>
  <si>
    <t>Other Means-tested Transfers</t>
  </si>
  <si>
    <t>Home Retention Actions</t>
  </si>
  <si>
    <t>Consumer Loan Charge-offs</t>
  </si>
  <si>
    <t>2008 sum</t>
  </si>
  <si>
    <t>end date</t>
  </si>
  <si>
    <t>nobs</t>
  </si>
  <si>
    <t>3.4</t>
  </si>
  <si>
    <t>2005 $ billion, SAAR</t>
  </si>
  <si>
    <t>millions of non-elderly heads and wives not employed</t>
  </si>
  <si>
    <t>2005 $ per Nonemployed, SAAR</t>
  </si>
  <si>
    <t>millions of non-elderly heads and wives not employed, or under-employed (relative to 2007)</t>
  </si>
  <si>
    <t>Married male</t>
  </si>
  <si>
    <t>Married female</t>
  </si>
  <si>
    <t>Not Employed</t>
  </si>
  <si>
    <t>Employed</t>
  </si>
  <si>
    <t>Unmarried female</t>
  </si>
  <si>
    <t>Unmarried male</t>
  </si>
  <si>
    <t>Millions</t>
  </si>
  <si>
    <t>Total</t>
  </si>
  <si>
    <t>Among the Employed</t>
  </si>
  <si>
    <t>Weekly hours, average</t>
  </si>
  <si>
    <t>Weekly earnings, average, 2007$</t>
  </si>
  <si>
    <t>Weekly earnings, median, 2007$</t>
  </si>
  <si>
    <t>Under-employment rate</t>
  </si>
  <si>
    <t>Persons under age 65 only.  Employment, hours, and earnings refer to the survey reference week.  Hours are measured only for persons at work.</t>
  </si>
  <si>
    <t>chg</t>
  </si>
  <si>
    <t>Weekly earnings, 1st quartile, 2007$</t>
  </si>
  <si>
    <t>Source:</t>
  </si>
  <si>
    <t>morgnonemployedtable.do</t>
  </si>
  <si>
    <t>Distortions</t>
  </si>
  <si>
    <t>prodmeasureshist.xlsx</t>
  </si>
  <si>
    <t>self-reliance</t>
  </si>
  <si>
    <t>from productivity</t>
  </si>
  <si>
    <t>from safety net spending per underemployed</t>
  </si>
  <si>
    <t>NOTES:</t>
  </si>
  <si>
    <r>
      <rPr>
        <vertAlign val="superscript"/>
        <sz val="14"/>
        <rFont val="Times New Roman"/>
        <family val="1"/>
      </rPr>
      <t>a</t>
    </r>
    <r>
      <rPr>
        <sz val="14"/>
        <rFont val="Times New Roman"/>
        <family val="1"/>
      </rPr>
      <t>Inclusion factor is an estimate of the fraction of program spending on non-elderly persons.  For Medicaid, it is multiplied by an estimate of the relative value of in-kind versus cash subsidies (0.75).</t>
    </r>
  </si>
  <si>
    <r>
      <rPr>
        <vertAlign val="superscript"/>
        <sz val="14"/>
        <rFont val="Times New Roman"/>
        <family val="1"/>
      </rPr>
      <t>b</t>
    </r>
    <r>
      <rPr>
        <sz val="14"/>
        <rFont val="Times New Roman"/>
        <family val="1"/>
      </rPr>
      <t>Percentage of total is proportional to a program's transfer amount times its inclusion factor; percentages sum to 100 across programs.</t>
    </r>
  </si>
  <si>
    <r>
      <rPr>
        <vertAlign val="superscript"/>
        <sz val="14"/>
        <rFont val="Times New Roman"/>
        <family val="1"/>
      </rPr>
      <t>c</t>
    </r>
    <r>
      <rPr>
        <sz val="14"/>
        <rFont val="Times New Roman"/>
        <family val="1"/>
      </rPr>
      <t>Other consists of expenditures for food under the supplemental program for women, infants, and children; foster care; adoption assistance; and payments to nonprofit welfare institutions.</t>
    </r>
  </si>
  <si>
    <r>
      <t>Inclusion Factor</t>
    </r>
    <r>
      <rPr>
        <u val="single"/>
        <vertAlign val="superscript"/>
        <sz val="14"/>
        <rFont val="Times New Roman"/>
        <family val="1"/>
      </rPr>
      <t>a</t>
    </r>
  </si>
  <si>
    <r>
      <t>Percentage of Total</t>
    </r>
    <r>
      <rPr>
        <u val="single"/>
        <vertAlign val="superscript"/>
        <sz val="14"/>
        <rFont val="Times New Roman"/>
        <family val="1"/>
      </rPr>
      <t>b</t>
    </r>
  </si>
  <si>
    <r>
      <t>Other</t>
    </r>
    <r>
      <rPr>
        <vertAlign val="superscript"/>
        <sz val="14"/>
        <rFont val="Times New Roman"/>
        <family val="1"/>
      </rPr>
      <t>c</t>
    </r>
  </si>
  <si>
    <t>Discharge Amount, 2007 $ billion</t>
  </si>
  <si>
    <t>2010 avg</t>
  </si>
  <si>
    <t>2007 avg</t>
  </si>
  <si>
    <t>change</t>
  </si>
  <si>
    <t>The Expanding Social Safety Net</t>
  </si>
  <si>
    <t>by Casey B. Mulligan</t>
  </si>
  <si>
    <t>NBER working paper</t>
  </si>
  <si>
    <t>December 2011</t>
  </si>
  <si>
    <t>Means-tested Subsidies Found in the Personal Income Accounts</t>
  </si>
  <si>
    <t>Figure</t>
  </si>
  <si>
    <t>Consumer Loan Discharges by Type and Year</t>
  </si>
  <si>
    <t>Number and Characteristics of Household Heads, Spouses</t>
  </si>
  <si>
    <t>Transfers and Loan Discharges for the Unemployed and Financially Distressed</t>
  </si>
  <si>
    <t>Labor Market Distortions Measured from Productivity and the Safety Net</t>
  </si>
  <si>
    <t>Title</t>
  </si>
  <si>
    <t>PIPrograms</t>
  </si>
  <si>
    <t>AnnualDischarges</t>
  </si>
  <si>
    <t>NonemployedTable</t>
  </si>
  <si>
    <t>NonemployedFig</t>
  </si>
  <si>
    <t>Selected Tables and Figures</t>
  </si>
  <si>
    <t>Worksheet Tab</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</si>
</sst>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yy;@"/>
    <numFmt numFmtId="171" formatCode="0.0%"/>
    <numFmt numFmtId="172" formatCode="[$-409]h:mm:ss\ AM/PM"/>
    <numFmt numFmtId="173" formatCode="0.000"/>
    <numFmt numFmtId="174" formatCode="0.0000000"/>
    <numFmt numFmtId="175" formatCode="0.000000"/>
    <numFmt numFmtId="176" formatCode="0.00000"/>
    <numFmt numFmtId="177" formatCode="0.0000"/>
    <numFmt numFmtId="178" formatCode="#,##0.0"/>
    <numFmt numFmtId="179" formatCode="#,##0.000"/>
    <numFmt numFmtId="180" formatCode="#,##0.0000"/>
    <numFmt numFmtId="181" formatCode="[$-409]yyyy;@"/>
  </numFmts>
  <fonts count="55">
    <font>
      <sz val="11"/>
      <color theme="1"/>
      <name val="Times New Roman"/>
      <family val="2"/>
    </font>
    <font>
      <sz val="11"/>
      <color indexed="8"/>
      <name val="Calibri"/>
      <family val="2"/>
    </font>
    <font>
      <sz val="10"/>
      <name val="Arial"/>
      <family val="2"/>
    </font>
    <font>
      <sz val="14"/>
      <name val="Times New Roman"/>
      <family val="1"/>
    </font>
    <font>
      <vertAlign val="superscript"/>
      <sz val="14"/>
      <name val="Times New Roman"/>
      <family val="1"/>
    </font>
    <font>
      <u val="single"/>
      <vertAlign val="superscript"/>
      <sz val="14"/>
      <name val="Times New Roman"/>
      <family val="1"/>
    </font>
    <font>
      <b/>
      <sz val="14"/>
      <color indexed="8"/>
      <name val="Times New Roman"/>
      <family val="1"/>
    </font>
    <font>
      <sz val="10"/>
      <color indexed="8"/>
      <name val="Times New Roman"/>
      <family val="1"/>
    </font>
    <font>
      <sz val="12"/>
      <color indexed="8"/>
      <name val="Times New Roman"/>
      <family val="1"/>
    </font>
    <font>
      <b/>
      <sz val="18"/>
      <color indexed="8"/>
      <name val="Times New Roman"/>
      <family val="1"/>
    </font>
    <font>
      <sz val="12.85"/>
      <color indexed="8"/>
      <name val="Times New Roman"/>
      <family val="1"/>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Arial"/>
      <family val="2"/>
    </font>
    <font>
      <b/>
      <sz val="11"/>
      <color indexed="8"/>
      <name val="Times New Roman"/>
      <family val="2"/>
    </font>
    <font>
      <sz val="11"/>
      <color indexed="10"/>
      <name val="Times New Roman"/>
      <family val="2"/>
    </font>
    <font>
      <sz val="14"/>
      <color indexed="8"/>
      <name val="Times New Roman"/>
      <family val="2"/>
    </font>
    <font>
      <u val="single"/>
      <sz val="14"/>
      <color indexed="8"/>
      <name val="Times New Roman"/>
      <family val="2"/>
    </font>
    <font>
      <u val="single"/>
      <sz val="14"/>
      <name val="Times New Roman"/>
      <family val="1"/>
    </font>
    <font>
      <b/>
      <sz val="14"/>
      <name val="Times New Roman"/>
      <family val="1"/>
    </font>
    <font>
      <u val="single"/>
      <sz val="11"/>
      <color indexed="8"/>
      <name val="Times New Roman"/>
      <family val="1"/>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4"/>
      <color theme="1"/>
      <name val="Times New Roman"/>
      <family val="2"/>
    </font>
    <font>
      <u val="single"/>
      <sz val="14"/>
      <color theme="1"/>
      <name val="Times New Roman"/>
      <family val="2"/>
    </font>
    <font>
      <b/>
      <sz val="14"/>
      <color theme="1"/>
      <name val="Times New Roman"/>
      <family val="1"/>
    </font>
    <font>
      <u val="single"/>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4">
    <xf numFmtId="0" fontId="0" fillId="0" borderId="0" xfId="0" applyFont="1" applyAlignment="1">
      <alignment/>
    </xf>
    <xf numFmtId="14" fontId="0" fillId="0" borderId="0" xfId="0" applyNumberFormat="1" applyAlignment="1">
      <alignment/>
    </xf>
    <xf numFmtId="164" fontId="0" fillId="0" borderId="0" xfId="0" applyNumberFormat="1" applyAlignment="1">
      <alignment/>
    </xf>
    <xf numFmtId="14" fontId="43" fillId="0" borderId="0" xfId="52" applyNumberFormat="1" applyAlignment="1">
      <alignment/>
    </xf>
    <xf numFmtId="0" fontId="0" fillId="0" borderId="0" xfId="0" applyAlignment="1">
      <alignment horizontal="left"/>
    </xf>
    <xf numFmtId="170" fontId="0" fillId="0" borderId="0" xfId="0" applyNumberFormat="1" applyAlignment="1">
      <alignment/>
    </xf>
    <xf numFmtId="3" fontId="0" fillId="0" borderId="0" xfId="0" applyNumberFormat="1" applyAlignment="1">
      <alignment/>
    </xf>
    <xf numFmtId="171" fontId="0" fillId="0" borderId="0" xfId="59" applyNumberFormat="1" applyFont="1" applyAlignment="1">
      <alignment/>
    </xf>
    <xf numFmtId="0" fontId="51" fillId="0" borderId="0" xfId="0" applyFont="1" applyAlignment="1">
      <alignment/>
    </xf>
    <xf numFmtId="3" fontId="51" fillId="0" borderId="0" xfId="0" applyNumberFormat="1" applyFont="1" applyAlignment="1">
      <alignment/>
    </xf>
    <xf numFmtId="0" fontId="52" fillId="0" borderId="0" xfId="0" applyFont="1" applyAlignment="1">
      <alignment/>
    </xf>
    <xf numFmtId="3" fontId="52" fillId="0" borderId="0" xfId="0" applyNumberFormat="1" applyFont="1" applyAlignment="1">
      <alignment/>
    </xf>
    <xf numFmtId="0" fontId="51" fillId="0" borderId="0" xfId="0" applyFont="1" applyAlignment="1">
      <alignment horizontal="right"/>
    </xf>
    <xf numFmtId="164" fontId="51" fillId="0" borderId="0" xfId="0" applyNumberFormat="1" applyFont="1" applyAlignment="1">
      <alignment/>
    </xf>
    <xf numFmtId="178" fontId="51" fillId="0" borderId="0" xfId="0" applyNumberFormat="1" applyFont="1" applyAlignment="1">
      <alignment/>
    </xf>
    <xf numFmtId="0" fontId="53" fillId="0" borderId="0" xfId="0" applyFont="1" applyAlignment="1">
      <alignment/>
    </xf>
    <xf numFmtId="0" fontId="0" fillId="0" borderId="0" xfId="0" applyNumberFormat="1" applyAlignment="1">
      <alignment/>
    </xf>
    <xf numFmtId="0" fontId="0" fillId="0" borderId="0" xfId="0" applyAlignment="1">
      <alignment horizontal="center"/>
    </xf>
    <xf numFmtId="178" fontId="0" fillId="0" borderId="0" xfId="0" applyNumberFormat="1" applyAlignment="1">
      <alignment/>
    </xf>
    <xf numFmtId="0" fontId="0" fillId="0" borderId="0" xfId="0" applyAlignment="1">
      <alignment horizontal="right"/>
    </xf>
    <xf numFmtId="0" fontId="43" fillId="0" borderId="0" xfId="52" applyAlignment="1">
      <alignment/>
    </xf>
    <xf numFmtId="4" fontId="0" fillId="0" borderId="0" xfId="0" applyNumberFormat="1" applyAlignment="1">
      <alignment/>
    </xf>
    <xf numFmtId="179" fontId="0" fillId="0" borderId="0" xfId="0" applyNumberFormat="1" applyAlignment="1">
      <alignment/>
    </xf>
    <xf numFmtId="0" fontId="3" fillId="0" borderId="0" xfId="56" applyFont="1">
      <alignment/>
      <protection/>
    </xf>
    <xf numFmtId="0" fontId="2" fillId="0" borderId="0" xfId="56">
      <alignment/>
      <protection/>
    </xf>
    <xf numFmtId="0" fontId="3" fillId="0" borderId="0" xfId="56" applyFont="1" quotePrefix="1">
      <alignment/>
      <protection/>
    </xf>
    <xf numFmtId="0" fontId="31" fillId="0" borderId="0" xfId="56" applyFont="1">
      <alignment/>
      <protection/>
    </xf>
    <xf numFmtId="2" fontId="3" fillId="0" borderId="0" xfId="56" applyNumberFormat="1" applyFont="1">
      <alignment/>
      <protection/>
    </xf>
    <xf numFmtId="3" fontId="3" fillId="0" borderId="0" xfId="56" applyNumberFormat="1" applyFont="1">
      <alignment/>
      <protection/>
    </xf>
    <xf numFmtId="9" fontId="3" fillId="0" borderId="0" xfId="59" applyFont="1" applyAlignment="1">
      <alignment/>
    </xf>
    <xf numFmtId="0" fontId="0" fillId="0" borderId="0" xfId="0" applyAlignment="1" quotePrefix="1">
      <alignment/>
    </xf>
    <xf numFmtId="0" fontId="32" fillId="0" borderId="0" xfId="56" applyFont="1">
      <alignment/>
      <protection/>
    </xf>
    <xf numFmtId="0" fontId="3" fillId="0" borderId="0" xfId="56" applyFont="1" applyAlignment="1">
      <alignment horizontal="center"/>
      <protection/>
    </xf>
    <xf numFmtId="1" fontId="3" fillId="0" borderId="0" xfId="56" applyNumberFormat="1" applyFont="1">
      <alignment/>
      <protection/>
    </xf>
    <xf numFmtId="164" fontId="3" fillId="0" borderId="0" xfId="56" applyNumberFormat="1" applyFont="1">
      <alignment/>
      <protection/>
    </xf>
    <xf numFmtId="164" fontId="31" fillId="0" borderId="0" xfId="56" applyNumberFormat="1" applyFont="1">
      <alignment/>
      <protection/>
    </xf>
    <xf numFmtId="171" fontId="3" fillId="0" borderId="0" xfId="59" applyNumberFormat="1" applyFont="1" applyAlignment="1">
      <alignment/>
    </xf>
    <xf numFmtId="0" fontId="3" fillId="0" borderId="0" xfId="59" applyNumberFormat="1" applyFont="1" applyAlignment="1">
      <alignment/>
    </xf>
    <xf numFmtId="173" fontId="3" fillId="0" borderId="0" xfId="59" applyNumberFormat="1" applyFont="1" applyAlignment="1">
      <alignment/>
    </xf>
    <xf numFmtId="0" fontId="3" fillId="0" borderId="0" xfId="56" applyFont="1" applyAlignment="1">
      <alignment horizontal="right"/>
      <protection/>
    </xf>
    <xf numFmtId="9" fontId="31" fillId="0" borderId="0" xfId="59" applyFont="1" applyAlignment="1">
      <alignment/>
    </xf>
    <xf numFmtId="0" fontId="54" fillId="0" borderId="0" xfId="0" applyFont="1" applyAlignment="1">
      <alignment/>
    </xf>
    <xf numFmtId="164" fontId="54" fillId="0" borderId="0" xfId="0" applyNumberFormat="1" applyFont="1" applyAlignment="1">
      <alignment/>
    </xf>
    <xf numFmtId="3" fontId="54" fillId="0" borderId="0" xfId="0" applyNumberFormat="1" applyFont="1" applyAlignment="1">
      <alignment/>
    </xf>
    <xf numFmtId="0" fontId="0" fillId="0" borderId="0" xfId="0" applyAlignment="1" quotePrefix="1">
      <alignment horizontal="center"/>
    </xf>
    <xf numFmtId="0" fontId="0" fillId="0" borderId="0" xfId="0" applyAlignment="1">
      <alignment horizontal="center"/>
    </xf>
    <xf numFmtId="0" fontId="31" fillId="0" borderId="0" xfId="56" applyFont="1" applyAlignment="1">
      <alignment horizontal="center"/>
      <protection/>
    </xf>
    <xf numFmtId="0" fontId="3" fillId="0" borderId="0" xfId="56" applyFont="1" applyAlignment="1">
      <alignment horizontal="center"/>
      <protection/>
    </xf>
    <xf numFmtId="0" fontId="3" fillId="0" borderId="0" xfId="56" applyFont="1" applyAlignment="1">
      <alignment horizontal="left" wrapText="1"/>
      <protection/>
    </xf>
    <xf numFmtId="0" fontId="51" fillId="0" borderId="0" xfId="0" applyFont="1" applyAlignment="1">
      <alignment horizontal="center"/>
    </xf>
    <xf numFmtId="0" fontId="51" fillId="0" borderId="0" xfId="0" applyFont="1" applyAlignment="1">
      <alignment/>
    </xf>
    <xf numFmtId="0" fontId="51" fillId="0" borderId="0" xfId="0" applyFont="1" applyAlignment="1" quotePrefix="1">
      <alignment/>
    </xf>
    <xf numFmtId="0" fontId="52" fillId="0" borderId="0" xfId="0" applyFont="1" applyAlignment="1">
      <alignment/>
    </xf>
    <xf numFmtId="0" fontId="5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Summary!$A$1</c:f>
        </c:strRef>
      </c:tx>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latin typeface="Times New Roman"/>
              <a:ea typeface="Times New Roman"/>
              <a:cs typeface="Times New Roman"/>
            </a:defRPr>
          </a:pPr>
        </a:p>
      </c:txPr>
    </c:title>
    <c:plotArea>
      <c:layout>
        <c:manualLayout>
          <c:xMode val="edge"/>
          <c:yMode val="edge"/>
          <c:x val="0.029"/>
          <c:y val="0.04675"/>
          <c:w val="0.94125"/>
          <c:h val="0.9235"/>
        </c:manualLayout>
      </c:layout>
      <c:areaChart>
        <c:grouping val="stacked"/>
        <c:varyColors val="0"/>
        <c:ser>
          <c:idx val="0"/>
          <c:order val="0"/>
          <c:tx>
            <c:strRef>
              <c:f>Summary!$C$8</c:f>
              <c:strCache>
                <c:ptCount val="1"/>
                <c:pt idx="0">
                  <c:v>Medicaid</c:v>
                </c:pt>
              </c:strCache>
            </c:strRef>
          </c:tx>
          <c:spPr>
            <a:solidFill>
              <a:srgbClr val="4572A7"/>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Summary!$K$10:$K$48</c:f>
              <c:numCache>
                <c:ptCount val="39"/>
                <c:pt idx="0">
                  <c:v>4939.208156314696</c:v>
                </c:pt>
                <c:pt idx="1">
                  <c:v>5105.95562255974</c:v>
                </c:pt>
                <c:pt idx="2">
                  <c:v>5387.134125934742</c:v>
                </c:pt>
                <c:pt idx="3">
                  <c:v>5278.389206814507</c:v>
                </c:pt>
                <c:pt idx="4">
                  <c:v>5554.419014858175</c:v>
                </c:pt>
                <c:pt idx="5">
                  <c:v>5331.718459805728</c:v>
                </c:pt>
                <c:pt idx="6">
                  <c:v>5260.79505590557</c:v>
                </c:pt>
                <c:pt idx="7">
                  <c:v>5566.0123828871165</c:v>
                </c:pt>
                <c:pt idx="8">
                  <c:v>5216.246546034047</c:v>
                </c:pt>
                <c:pt idx="9">
                  <c:v>5396.110532937572</c:v>
                </c:pt>
                <c:pt idx="10">
                  <c:v>5286.334573878718</c:v>
                </c:pt>
                <c:pt idx="11">
                  <c:v>5137.375103770571</c:v>
                </c:pt>
                <c:pt idx="12">
                  <c:v>4957.097036816639</c:v>
                </c:pt>
                <c:pt idx="13">
                  <c:v>4995.731368038389</c:v>
                </c:pt>
                <c:pt idx="14">
                  <c:v>4809.767862449784</c:v>
                </c:pt>
                <c:pt idx="15">
                  <c:v>4843.134660385046</c:v>
                </c:pt>
                <c:pt idx="16">
                  <c:v>4850.918705936626</c:v>
                </c:pt>
                <c:pt idx="17">
                  <c:v>5181.099173671146</c:v>
                </c:pt>
                <c:pt idx="18">
                  <c:v>5325.325749834412</c:v>
                </c:pt>
                <c:pt idx="19">
                  <c:v>5587.346334423916</c:v>
                </c:pt>
              </c:numCache>
            </c:numRef>
          </c:val>
        </c:ser>
        <c:ser>
          <c:idx val="1"/>
          <c:order val="1"/>
          <c:tx>
            <c:strRef>
              <c:f>Summary!$D$8</c:f>
              <c:strCache>
                <c:ptCount val="1"/>
                <c:pt idx="0">
                  <c:v>UI</c:v>
                </c:pt>
              </c:strCache>
            </c:strRef>
          </c:tx>
          <c:spPr>
            <a:solidFill>
              <a:srgbClr val="AA4643"/>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Summary!$L$10:$L$48</c:f>
              <c:numCache>
                <c:ptCount val="39"/>
                <c:pt idx="0">
                  <c:v>834.2007749820594</c:v>
                </c:pt>
                <c:pt idx="1">
                  <c:v>840.1155562190078</c:v>
                </c:pt>
                <c:pt idx="2">
                  <c:v>880.0013341608094</c:v>
                </c:pt>
                <c:pt idx="3">
                  <c:v>875.8852512180736</c:v>
                </c:pt>
                <c:pt idx="4">
                  <c:v>865.9094398557206</c:v>
                </c:pt>
                <c:pt idx="5">
                  <c:v>858.2972307836068</c:v>
                </c:pt>
                <c:pt idx="6">
                  <c:v>893.7585987219411</c:v>
                </c:pt>
                <c:pt idx="7">
                  <c:v>959.6099432895367</c:v>
                </c:pt>
                <c:pt idx="8">
                  <c:v>943.6429621685849</c:v>
                </c:pt>
                <c:pt idx="9">
                  <c:v>983.5597677772081</c:v>
                </c:pt>
                <c:pt idx="10">
                  <c:v>1466.478398780422</c:v>
                </c:pt>
                <c:pt idx="11">
                  <c:v>1743.26100253314</c:v>
                </c:pt>
                <c:pt idx="12">
                  <c:v>2257.5718497933713</c:v>
                </c:pt>
                <c:pt idx="13">
                  <c:v>2792.5946971071194</c:v>
                </c:pt>
                <c:pt idx="14">
                  <c:v>2964.7632756570083</c:v>
                </c:pt>
                <c:pt idx="15">
                  <c:v>3107.0877820579517</c:v>
                </c:pt>
                <c:pt idx="16">
                  <c:v>3126.2950416013596</c:v>
                </c:pt>
                <c:pt idx="17">
                  <c:v>2978.961061567483</c:v>
                </c:pt>
                <c:pt idx="18">
                  <c:v>2912.009249091248</c:v>
                </c:pt>
                <c:pt idx="19">
                  <c:v>2666.744463489329</c:v>
                </c:pt>
              </c:numCache>
            </c:numRef>
          </c:val>
        </c:ser>
        <c:ser>
          <c:idx val="2"/>
          <c:order val="2"/>
          <c:tx>
            <c:strRef>
              <c:f>Summary!$E$8</c:f>
              <c:strCache>
                <c:ptCount val="1"/>
                <c:pt idx="0">
                  <c:v>Other Means-tested Transfers</c:v>
                </c:pt>
              </c:strCache>
            </c:strRef>
          </c:tx>
          <c:spPr>
            <a:solidFill>
              <a:srgbClr val="89A54E"/>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Summary!$M$10:$M$48</c:f>
              <c:numCache>
                <c:ptCount val="39"/>
                <c:pt idx="0">
                  <c:v>3007.6834618724656</c:v>
                </c:pt>
                <c:pt idx="1">
                  <c:v>3068.7424248865773</c:v>
                </c:pt>
                <c:pt idx="2">
                  <c:v>3104.9296421895833</c:v>
                </c:pt>
                <c:pt idx="3">
                  <c:v>3129.082603637091</c:v>
                </c:pt>
                <c:pt idx="4">
                  <c:v>3063.7672647696163</c:v>
                </c:pt>
                <c:pt idx="5">
                  <c:v>3138.2396562331096</c:v>
                </c:pt>
                <c:pt idx="6">
                  <c:v>3079.023995601264</c:v>
                </c:pt>
                <c:pt idx="7">
                  <c:v>3226.6745085655425</c:v>
                </c:pt>
                <c:pt idx="8">
                  <c:v>3075.9646283030565</c:v>
                </c:pt>
                <c:pt idx="9">
                  <c:v>3192.093779381717</c:v>
                </c:pt>
                <c:pt idx="10">
                  <c:v>3216.865974366497</c:v>
                </c:pt>
                <c:pt idx="11">
                  <c:v>3297.2199735600857</c:v>
                </c:pt>
                <c:pt idx="12">
                  <c:v>3078.984013306897</c:v>
                </c:pt>
                <c:pt idx="13">
                  <c:v>3266.17904782911</c:v>
                </c:pt>
                <c:pt idx="14">
                  <c:v>3152.9560884190773</c:v>
                </c:pt>
                <c:pt idx="15">
                  <c:v>3303.542934754641</c:v>
                </c:pt>
                <c:pt idx="16">
                  <c:v>3267.1772036610173</c:v>
                </c:pt>
                <c:pt idx="17">
                  <c:v>3511.7716325052256</c:v>
                </c:pt>
                <c:pt idx="18">
                  <c:v>3553.865495447772</c:v>
                </c:pt>
                <c:pt idx="19">
                  <c:v>3471.1470261598483</c:v>
                </c:pt>
              </c:numCache>
            </c:numRef>
          </c:val>
        </c:ser>
        <c:ser>
          <c:idx val="3"/>
          <c:order val="3"/>
          <c:tx>
            <c:strRef>
              <c:f>Summary!$F$8</c:f>
              <c:strCache>
                <c:ptCount val="1"/>
                <c:pt idx="0">
                  <c:v>Home Retention Actions</c:v>
                </c:pt>
              </c:strCache>
            </c:strRef>
          </c:tx>
          <c:spPr>
            <a:solidFill>
              <a:srgbClr val="71588F"/>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Summary!$N$10:$N$48</c:f>
              <c:numCache>
                <c:ptCount val="39"/>
                <c:pt idx="0">
                  <c:v>54.2315239077496</c:v>
                </c:pt>
                <c:pt idx="1">
                  <c:v>63.22282133529576</c:v>
                </c:pt>
                <c:pt idx="2">
                  <c:v>78.79706801228343</c:v>
                </c:pt>
                <c:pt idx="3">
                  <c:v>86.5458654171427</c:v>
                </c:pt>
                <c:pt idx="4">
                  <c:v>102.14307715922538</c:v>
                </c:pt>
                <c:pt idx="5">
                  <c:v>135.2984465078878</c:v>
                </c:pt>
                <c:pt idx="6">
                  <c:v>190.79740270019965</c:v>
                </c:pt>
                <c:pt idx="7">
                  <c:v>331.51291150032057</c:v>
                </c:pt>
                <c:pt idx="8">
                  <c:v>738.2903759789702</c:v>
                </c:pt>
                <c:pt idx="9">
                  <c:v>931.8813414869517</c:v>
                </c:pt>
                <c:pt idx="10">
                  <c:v>962.1437942885968</c:v>
                </c:pt>
                <c:pt idx="11">
                  <c:v>1044.6326782911801</c:v>
                </c:pt>
                <c:pt idx="12">
                  <c:v>1135.6740255356801</c:v>
                </c:pt>
                <c:pt idx="13">
                  <c:v>1259.6925377356458</c:v>
                </c:pt>
                <c:pt idx="14">
                  <c:v>1940.4096938541093</c:v>
                </c:pt>
                <c:pt idx="15">
                  <c:v>1785.0329826717332</c:v>
                </c:pt>
                <c:pt idx="16">
                  <c:v>1816.238345748259</c:v>
                </c:pt>
                <c:pt idx="17">
                  <c:v>1805.8641858226556</c:v>
                </c:pt>
                <c:pt idx="18">
                  <c:v>1505.207728542478</c:v>
                </c:pt>
                <c:pt idx="19">
                  <c:v>1454.4510155926657</c:v>
                </c:pt>
              </c:numCache>
            </c:numRef>
          </c:val>
        </c:ser>
        <c:ser>
          <c:idx val="4"/>
          <c:order val="4"/>
          <c:tx>
            <c:strRef>
              <c:f>Summary!$G$8</c:f>
              <c:strCache>
                <c:ptCount val="1"/>
                <c:pt idx="0">
                  <c:v>Consumer Loan Charge-offs</c:v>
                </c:pt>
              </c:strCache>
            </c:strRef>
          </c:tx>
          <c:spPr>
            <a:solidFill>
              <a:srgbClr val="4198AF"/>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Summary!$O$10:$O$48</c:f>
              <c:numCache>
                <c:ptCount val="39"/>
                <c:pt idx="0">
                  <c:v>403.69484188957074</c:v>
                </c:pt>
                <c:pt idx="1">
                  <c:v>457.5588731981519</c:v>
                </c:pt>
                <c:pt idx="2">
                  <c:v>537.8292058162104</c:v>
                </c:pt>
                <c:pt idx="3">
                  <c:v>547.6818411878501</c:v>
                </c:pt>
                <c:pt idx="4">
                  <c:v>560.1990931691199</c:v>
                </c:pt>
                <c:pt idx="5">
                  <c:v>580.2076082249115</c:v>
                </c:pt>
                <c:pt idx="6">
                  <c:v>638.7880094275102</c:v>
                </c:pt>
                <c:pt idx="7">
                  <c:v>708.2437482217696</c:v>
                </c:pt>
                <c:pt idx="8">
                  <c:v>750.3673770289225</c:v>
                </c:pt>
                <c:pt idx="9">
                  <c:v>865.5913857677393</c:v>
                </c:pt>
                <c:pt idx="10">
                  <c:v>923.9210590586715</c:v>
                </c:pt>
                <c:pt idx="11">
                  <c:v>1040.474202698906</c:v>
                </c:pt>
                <c:pt idx="12">
                  <c:v>1097.5722583990193</c:v>
                </c:pt>
                <c:pt idx="13">
                  <c:v>1248.0836729715872</c:v>
                </c:pt>
                <c:pt idx="14">
                  <c:v>1171.0714390152446</c:v>
                </c:pt>
                <c:pt idx="15">
                  <c:v>1163.8225687659315</c:v>
                </c:pt>
                <c:pt idx="16">
                  <c:v>1822.5602392273202</c:v>
                </c:pt>
                <c:pt idx="17">
                  <c:v>1919.1746027581237</c:v>
                </c:pt>
                <c:pt idx="18">
                  <c:v>1472.8350396428357</c:v>
                </c:pt>
                <c:pt idx="19">
                  <c:v>1270.2835386161346</c:v>
                </c:pt>
              </c:numCache>
            </c:numRef>
          </c:val>
        </c:ser>
        <c:axId val="18806140"/>
        <c:axId val="35037533"/>
      </c:areaChart>
      <c:lineChart>
        <c:grouping val="standard"/>
        <c:varyColors val="0"/>
        <c:ser>
          <c:idx val="5"/>
          <c:order val="5"/>
          <c:tx>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Summary!$Q$10:$Q$29</c:f>
              <c:numCache>
                <c:ptCount val="20"/>
                <c:pt idx="0">
                  <c:v>0.7433605900287072</c:v>
                </c:pt>
                <c:pt idx="1">
                  <c:v>0.7351223528278119</c:v>
                </c:pt>
                <c:pt idx="2">
                  <c:v>0.7225363506635103</c:v>
                </c:pt>
                <c:pt idx="3">
                  <c:v>0.7245115342145927</c:v>
                </c:pt>
                <c:pt idx="4">
                  <c:v>0.7181545030607817</c:v>
                </c:pt>
                <c:pt idx="5">
                  <c:v>0.7210066277345766</c:v>
                </c:pt>
                <c:pt idx="6">
                  <c:v>0.7204676927123199</c:v>
                </c:pt>
                <c:pt idx="7">
                  <c:v>0.7002207362648809</c:v>
                </c:pt>
                <c:pt idx="8">
                  <c:v>0.7020968919579561</c:v>
                </c:pt>
                <c:pt idx="9">
                  <c:v>0.684187866462467</c:v>
                </c:pt>
                <c:pt idx="10">
                  <c:v>0.6706737833229748</c:v>
                </c:pt>
                <c:pt idx="11">
                  <c:v>0.659362139976281</c:v>
                </c:pt>
                <c:pt idx="12">
                  <c:v>0.6520305782263442</c:v>
                </c:pt>
                <c:pt idx="13">
                  <c:v>0.6232699632310598</c:v>
                </c:pt>
                <c:pt idx="14">
                  <c:v>0.6100286566834661</c:v>
                </c:pt>
                <c:pt idx="15">
                  <c:v>0.6054827519823527</c:v>
                </c:pt>
                <c:pt idx="16">
                  <c:v>0.5865780684395949</c:v>
                </c:pt>
                <c:pt idx="17">
                  <c:v>0.5723091484354269</c:v>
                </c:pt>
                <c:pt idx="18">
                  <c:v>0.5897432427067015</c:v>
                </c:pt>
                <c:pt idx="19">
                  <c:v>0.5986118783810586</c:v>
                </c:pt>
              </c:numCache>
            </c:numRef>
          </c:val>
          <c:smooth val="0"/>
        </c:ser>
        <c:axId val="20691723"/>
        <c:axId val="52007780"/>
      </c:lineChart>
      <c:dateAx>
        <c:axId val="18806140"/>
        <c:scaling>
          <c:orientation val="minMax"/>
        </c:scaling>
        <c:axPos val="b"/>
        <c:delete val="0"/>
        <c:numFmt formatCode="[$-409]yyyy;@"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35037533"/>
        <c:crosses val="autoZero"/>
        <c:auto val="0"/>
        <c:baseTimeUnit val="months"/>
        <c:majorUnit val="1"/>
        <c:majorTimeUnit val="years"/>
        <c:minorUnit val="1"/>
        <c:minorTimeUnit val="years"/>
        <c:noMultiLvlLbl val="0"/>
      </c:dateAx>
      <c:valAx>
        <c:axId val="35037533"/>
        <c:scaling>
          <c:orientation val="minMax"/>
          <c:max val="16200"/>
          <c:min val="0"/>
        </c:scaling>
        <c:axPos val="l"/>
        <c:title>
          <c:tx>
            <c:rich>
              <a:bodyPr vert="horz" rot="-5400000" anchor="ctr"/>
              <a:lstStyle/>
              <a:p>
                <a:pPr algn="ctr">
                  <a:defRPr/>
                </a:pPr>
                <a:r>
                  <a:rPr lang="en-US" cap="none" sz="1400" b="1" i="0" u="none" baseline="0">
                    <a:solidFill>
                      <a:srgbClr val="000000"/>
                    </a:solidFill>
                    <a:latin typeface="Times New Roman"/>
                    <a:ea typeface="Times New Roman"/>
                    <a:cs typeface="Times New Roman"/>
                  </a:rPr>
                  <a:t>2005 $ per under-employed, seasonally adjusted annual rates</a:t>
                </a:r>
              </a:p>
            </c:rich>
          </c:tx>
          <c:layout>
            <c:manualLayout>
              <c:xMode val="factor"/>
              <c:yMode val="factor"/>
              <c:x val="-0.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18806140"/>
        <c:crossesAt val="1"/>
        <c:crossBetween val="between"/>
        <c:dispUnits/>
        <c:majorUnit val="2500"/>
      </c:valAx>
      <c:dateAx>
        <c:axId val="20691723"/>
        <c:scaling>
          <c:orientation val="minMax"/>
        </c:scaling>
        <c:axPos val="t"/>
        <c:delete val="1"/>
        <c:majorTickMark val="out"/>
        <c:minorTickMark val="none"/>
        <c:tickLblPos val="none"/>
        <c:crossAx val="52007780"/>
        <c:crosses val="autoZero"/>
        <c:auto val="0"/>
        <c:baseTimeUnit val="months"/>
        <c:majorUnit val="1"/>
        <c:majorTimeUnit val="days"/>
        <c:minorUnit val="1"/>
        <c:minorTimeUnit val="days"/>
        <c:noMultiLvlLbl val="0"/>
      </c:dateAx>
      <c:valAx>
        <c:axId val="52007780"/>
        <c:scaling>
          <c:orientation val="maxMin"/>
          <c:max val="1"/>
          <c:min val="0.55"/>
        </c:scaling>
        <c:axPos val="l"/>
        <c:title>
          <c:tx>
            <c:rich>
              <a:bodyPr vert="horz" rot="-5400000" anchor="ctr"/>
              <a:lstStyle/>
              <a:p>
                <a:pPr algn="ctr">
                  <a:defRPr/>
                </a:pPr>
                <a:r>
                  <a:rPr lang="en-US" cap="none" sz="1400" b="1" i="0" u="none" baseline="0">
                    <a:solidFill>
                      <a:srgbClr val="000000"/>
                    </a:solidFill>
                    <a:latin typeface="Times New Roman"/>
                    <a:ea typeface="Times New Roman"/>
                    <a:cs typeface="Times New Roman"/>
                  </a:rPr>
                  <a:t/>
                </a:r>
              </a:p>
            </c:rich>
          </c:tx>
          <c:layout>
            <c:manualLayout>
              <c:xMode val="factor"/>
              <c:yMode val="factor"/>
              <c:x val="-0.000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20691723"/>
        <c:crosses val="max"/>
        <c:crossBetween val="between"/>
        <c:dispUnits/>
      </c:valAx>
      <c:spPr>
        <a:solidFill>
          <a:srgbClr val="FFFFFF"/>
        </a:solidFill>
        <a:ln w="3175">
          <a:noFill/>
        </a:ln>
      </c:spPr>
    </c:plotArea>
    <c:legend>
      <c:legendPos val="r"/>
      <c:layout>
        <c:manualLayout>
          <c:xMode val="edge"/>
          <c:yMode val="edge"/>
          <c:x val="0.11"/>
          <c:y val="0.1365"/>
          <c:w val="0.273"/>
          <c:h val="0.257"/>
        </c:manualLayout>
      </c:layout>
      <c:overlay val="0"/>
      <c:spPr>
        <a:noFill/>
        <a:ln w="3175">
          <a:noFill/>
        </a:ln>
      </c:spPr>
      <c:txPr>
        <a:bodyPr vert="horz" rot="0"/>
        <a:lstStyle/>
        <a:p>
          <a:pPr>
            <a:defRPr lang="en-US" cap="none" sz="1285" b="0" i="0" u="none" baseline="0">
              <a:solidFill>
                <a:srgbClr val="000000"/>
              </a:solidFill>
              <a:latin typeface="Times New Roman"/>
              <a:ea typeface="Times New Roman"/>
              <a:cs typeface="Times New Roman"/>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Summary!$X$1</c:f>
        </c:strRef>
      </c:tx>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Times New Roman"/>
              <a:ea typeface="Times New Roman"/>
              <a:cs typeface="Times New Roman"/>
            </a:defRPr>
          </a:pPr>
        </a:p>
      </c:txPr>
    </c:title>
    <c:plotArea>
      <c:layout>
        <c:manualLayout>
          <c:xMode val="edge"/>
          <c:yMode val="edge"/>
          <c:x val="0.041"/>
          <c:y val="0.02425"/>
          <c:w val="0.91825"/>
          <c:h val="0.921"/>
        </c:manualLayout>
      </c:layout>
      <c:lineChart>
        <c:grouping val="standard"/>
        <c:varyColors val="0"/>
        <c:ser>
          <c:idx val="0"/>
          <c:order val="0"/>
          <c:tx>
            <c:strRef>
              <c:f>Summary!$X$5</c:f>
              <c:strCache>
                <c:ptCount val="1"/>
                <c:pt idx="0">
                  <c:v>from productivity</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Summary!$A$17:$A$29</c:f>
              <c:strCache>
                <c:ptCount val="13"/>
                <c:pt idx="0">
                  <c:v>39356</c:v>
                </c:pt>
                <c:pt idx="1">
                  <c:v>39448</c:v>
                </c:pt>
                <c:pt idx="2">
                  <c:v>39539</c:v>
                </c:pt>
                <c:pt idx="3">
                  <c:v>39630</c:v>
                </c:pt>
                <c:pt idx="4">
                  <c:v>39722</c:v>
                </c:pt>
                <c:pt idx="5">
                  <c:v>39814</c:v>
                </c:pt>
                <c:pt idx="6">
                  <c:v>39904</c:v>
                </c:pt>
                <c:pt idx="7">
                  <c:v>39995</c:v>
                </c:pt>
                <c:pt idx="8">
                  <c:v>40087</c:v>
                </c:pt>
                <c:pt idx="9">
                  <c:v>40179</c:v>
                </c:pt>
                <c:pt idx="10">
                  <c:v>40269</c:v>
                </c:pt>
                <c:pt idx="11">
                  <c:v>40360</c:v>
                </c:pt>
                <c:pt idx="12">
                  <c:v>40452</c:v>
                </c:pt>
              </c:strCache>
            </c:strRef>
          </c:cat>
          <c:val>
            <c:numRef>
              <c:f>Summary!$X$17:$X$29</c:f>
              <c:numCache>
                <c:ptCount val="13"/>
                <c:pt idx="0">
                  <c:v>0</c:v>
                </c:pt>
                <c:pt idx="1">
                  <c:v>-0.006747176043105569</c:v>
                </c:pt>
                <c:pt idx="2">
                  <c:v>0.008289894395126939</c:v>
                </c:pt>
                <c:pt idx="3">
                  <c:v>0.021442809851174582</c:v>
                </c:pt>
                <c:pt idx="4">
                  <c:v>0.041408150488991775</c:v>
                </c:pt>
                <c:pt idx="5">
                  <c:v>0.07521053411396711</c:v>
                </c:pt>
                <c:pt idx="6">
                  <c:v>0.12095542858974025</c:v>
                </c:pt>
                <c:pt idx="7">
                  <c:v>0.1388863485649136</c:v>
                </c:pt>
                <c:pt idx="8">
                  <c:v>0.1552868355559126</c:v>
                </c:pt>
                <c:pt idx="9">
                  <c:v>0.15629574253809653</c:v>
                </c:pt>
                <c:pt idx="10">
                  <c:v>0.1462273705795235</c:v>
                </c:pt>
                <c:pt idx="11">
                  <c:v>0.14864304818338453</c:v>
                </c:pt>
                <c:pt idx="12">
                  <c:v>0.14750064725311293</c:v>
                </c:pt>
              </c:numCache>
            </c:numRef>
          </c:val>
          <c:smooth val="0"/>
        </c:ser>
        <c:ser>
          <c:idx val="1"/>
          <c:order val="1"/>
          <c:tx>
            <c:strRef>
              <c:f>Summary!$Y$5</c:f>
              <c:strCache>
                <c:ptCount val="1"/>
                <c:pt idx="0">
                  <c:v>from safety net spending per underemployed</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Summary!$A$17:$A$29</c:f>
              <c:strCache>
                <c:ptCount val="13"/>
                <c:pt idx="0">
                  <c:v>39356</c:v>
                </c:pt>
                <c:pt idx="1">
                  <c:v>39448</c:v>
                </c:pt>
                <c:pt idx="2">
                  <c:v>39539</c:v>
                </c:pt>
                <c:pt idx="3">
                  <c:v>39630</c:v>
                </c:pt>
                <c:pt idx="4">
                  <c:v>39722</c:v>
                </c:pt>
                <c:pt idx="5">
                  <c:v>39814</c:v>
                </c:pt>
                <c:pt idx="6">
                  <c:v>39904</c:v>
                </c:pt>
                <c:pt idx="7">
                  <c:v>39995</c:v>
                </c:pt>
                <c:pt idx="8">
                  <c:v>40087</c:v>
                </c:pt>
                <c:pt idx="9">
                  <c:v>40179</c:v>
                </c:pt>
                <c:pt idx="10">
                  <c:v>40269</c:v>
                </c:pt>
                <c:pt idx="11">
                  <c:v>40360</c:v>
                </c:pt>
                <c:pt idx="12">
                  <c:v>40452</c:v>
                </c:pt>
              </c:strCache>
            </c:strRef>
          </c:cat>
          <c:val>
            <c:numRef>
              <c:f>Summary!$Y$17:$Y$29</c:f>
              <c:numCache>
                <c:ptCount val="13"/>
                <c:pt idx="0">
                  <c:v>0</c:v>
                </c:pt>
                <c:pt idx="1">
                  <c:v>-0.002675794377444796</c:v>
                </c:pt>
                <c:pt idx="2">
                  <c:v>0.023163084374588132</c:v>
                </c:pt>
                <c:pt idx="3">
                  <c:v>0.043112769044453346</c:v>
                </c:pt>
                <c:pt idx="4">
                  <c:v>0.060122709735505556</c:v>
                </c:pt>
                <c:pt idx="5">
                  <c:v>0.07130416290915324</c:v>
                </c:pt>
                <c:pt idx="6">
                  <c:v>0.11641587010945355</c:v>
                </c:pt>
                <c:pt idx="7">
                  <c:v>0.1378896886227028</c:v>
                </c:pt>
                <c:pt idx="8">
                  <c:v>0.14536954584708944</c:v>
                </c:pt>
                <c:pt idx="9">
                  <c:v>0.1770898546020087</c:v>
                </c:pt>
                <c:pt idx="10">
                  <c:v>0.20171630818465888</c:v>
                </c:pt>
                <c:pt idx="11">
                  <c:v>0.17170836252862334</c:v>
                </c:pt>
                <c:pt idx="12">
                  <c:v>0.15678218403101407</c:v>
                </c:pt>
              </c:numCache>
            </c:numRef>
          </c:val>
          <c:smooth val="0"/>
        </c:ser>
        <c:marker val="1"/>
        <c:axId val="65416837"/>
        <c:axId val="51880622"/>
      </c:lineChart>
      <c:dateAx>
        <c:axId val="65416837"/>
        <c:scaling>
          <c:orientation val="minMax"/>
        </c:scaling>
        <c:axPos val="b"/>
        <c:title>
          <c:tx>
            <c:rich>
              <a:bodyPr vert="horz" rot="0" anchor="ctr"/>
              <a:lstStyle/>
              <a:p>
                <a:pPr algn="ctr">
                  <a:defRPr/>
                </a:pPr>
                <a:r>
                  <a:rPr lang="en-US" cap="none" sz="1400" b="1" i="0" u="none" baseline="0">
                    <a:solidFill>
                      <a:srgbClr val="000000"/>
                    </a:solidFill>
                    <a:latin typeface="Times New Roman"/>
                    <a:ea typeface="Times New Roman"/>
                    <a:cs typeface="Times New Roman"/>
                  </a:rPr>
                  <a:t>Quarter Beginning</a:t>
                </a:r>
              </a:p>
            </c:rich>
          </c:tx>
          <c:layout>
            <c:manualLayout>
              <c:xMode val="factor"/>
              <c:yMode val="factor"/>
              <c:x val="0.00575"/>
              <c:y val="0.00125"/>
            </c:manualLayout>
          </c:layout>
          <c:overlay val="0"/>
          <c:spPr>
            <a:noFill/>
            <a:ln w="3175">
              <a:noFill/>
            </a:ln>
          </c:spPr>
        </c:title>
        <c:delete val="0"/>
        <c:numFmt formatCode="[$-409]mmm\-yy;@"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51880622"/>
        <c:crosses val="autoZero"/>
        <c:auto val="0"/>
        <c:baseTimeUnit val="months"/>
        <c:majorUnit val="3"/>
        <c:majorTimeUnit val="months"/>
        <c:minorUnit val="1"/>
        <c:minorTimeUnit val="months"/>
        <c:noMultiLvlLbl val="0"/>
      </c:dateAx>
      <c:valAx>
        <c:axId val="51880622"/>
        <c:scaling>
          <c:orientation val="minMax"/>
        </c:scaling>
        <c:axPos val="l"/>
        <c:title>
          <c:tx>
            <c:rich>
              <a:bodyPr vert="horz" rot="-5400000" anchor="ctr"/>
              <a:lstStyle/>
              <a:p>
                <a:pPr algn="ctr">
                  <a:defRPr/>
                </a:pPr>
                <a:r>
                  <a:rPr lang="en-US" cap="none" sz="1400" b="1" i="0" u="none" baseline="0">
                    <a:solidFill>
                      <a:srgbClr val="000000"/>
                    </a:solidFill>
                    <a:latin typeface="Times New Roman"/>
                    <a:ea typeface="Times New Roman"/>
                    <a:cs typeface="Times New Roman"/>
                  </a:rPr>
                  <a:t>log change from 2007-Q4</a:t>
                </a:r>
              </a:p>
            </c:rich>
          </c:tx>
          <c:layout>
            <c:manualLayout>
              <c:xMode val="factor"/>
              <c:yMode val="factor"/>
              <c:x val="-0.000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65416837"/>
        <c:crossesAt val="1"/>
        <c:crossBetween val="between"/>
        <c:dispUnits/>
      </c:valAx>
      <c:spPr>
        <a:solidFill>
          <a:srgbClr val="FFFFFF"/>
        </a:solidFill>
        <a:ln w="3175">
          <a:noFill/>
        </a:ln>
      </c:spPr>
    </c:plotArea>
    <c:legend>
      <c:legendPos val="r"/>
      <c:layout>
        <c:manualLayout>
          <c:xMode val="edge"/>
          <c:yMode val="edge"/>
          <c:x val="0.2135"/>
          <c:y val="0.17475"/>
          <c:w val="0.43625"/>
          <c:h val="0.09725"/>
        </c:manualLayout>
      </c:layout>
      <c:overlay val="0"/>
      <c:spPr>
        <a:noFill/>
        <a:ln w="3175">
          <a:noFill/>
        </a:ln>
      </c:spPr>
      <c:txPr>
        <a:bodyPr vert="horz" rot="0"/>
        <a:lstStyle/>
        <a:p>
          <a:pPr>
            <a:defRPr lang="en-US" cap="none" sz="128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Times New Roman"/>
          <a:ea typeface="Times New Roman"/>
          <a:cs typeface="Times New Roman"/>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31"/>
  </sheetViews>
  <pageMargins left="0.7" right="0.7" top="0.75" bottom="0.75" header="0.3" footer="0.3"/>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Chart 1"/>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socialsecurity.gov/policy/docs/statcomps/ssi_asr/2010/" TargetMode="External" /><Relationship Id="rId2" Type="http://schemas.openxmlformats.org/officeDocument/2006/relationships/hyperlink" Target="https://www.cms.gov/MedicareMedicaidStatSupp/downloads/2010Medicaid.zip,%20Table%2013.10" TargetMode="External" /><Relationship Id="rId3"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research.stlouisfed.org/fred2/series/CORSFRMACBS" TargetMode="External" /><Relationship Id="rId2" Type="http://schemas.openxmlformats.org/officeDocument/2006/relationships/hyperlink" Target="http://research.stlouisfed.org/fred2/series/CORCACBS" TargetMode="External" /><Relationship Id="rId3" Type="http://schemas.openxmlformats.org/officeDocument/2006/relationships/hyperlink" Target="http://research.stlouisfed.org/fred2/series/ACLACB" TargetMode="External" /><Relationship Id="rId4" Type="http://schemas.openxmlformats.org/officeDocument/2006/relationships/hyperlink" Target="http://research.stlouisfed.org/fred2/series/ATAIEALLGSRESFRMACB" TargetMode="External" /><Relationship Id="rId5" Type="http://schemas.openxmlformats.org/officeDocument/2006/relationships/hyperlink" Target="http://research.stlouisfed.org/fred2/series/PCECTPI" TargetMode="Externa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2"/>
  <sheetViews>
    <sheetView showGridLines="0" tabSelected="1" zoomScalePageLayoutView="0" workbookViewId="0" topLeftCell="A1">
      <selection activeCell="A1" sqref="A1"/>
    </sheetView>
  </sheetViews>
  <sheetFormatPr defaultColWidth="9.140625" defaultRowHeight="15"/>
  <cols>
    <col min="1" max="1" width="7.28125" style="0" customWidth="1"/>
    <col min="2" max="2" width="2.57421875" style="0" customWidth="1"/>
    <col min="3" max="3" width="87.57421875" style="0" bestFit="1" customWidth="1"/>
    <col min="4" max="4" width="22.7109375" style="0" customWidth="1"/>
  </cols>
  <sheetData>
    <row r="1" spans="1:4" ht="18.75">
      <c r="A1" s="15" t="s">
        <v>137</v>
      </c>
      <c r="B1" s="50"/>
      <c r="C1" s="50"/>
      <c r="D1" s="50"/>
    </row>
    <row r="2" spans="1:4" ht="18.75">
      <c r="A2" s="50" t="s">
        <v>138</v>
      </c>
      <c r="B2" s="50"/>
      <c r="C2" s="50"/>
      <c r="D2" s="50"/>
    </row>
    <row r="3" spans="1:4" ht="18.75">
      <c r="A3" s="50" t="s">
        <v>139</v>
      </c>
      <c r="B3" s="50"/>
      <c r="C3" s="50"/>
      <c r="D3" s="50"/>
    </row>
    <row r="4" spans="1:4" ht="18.75">
      <c r="A4" s="51" t="s">
        <v>140</v>
      </c>
      <c r="B4" s="50"/>
      <c r="C4" s="50"/>
      <c r="D4" s="50"/>
    </row>
    <row r="5" spans="1:4" ht="18.75">
      <c r="A5" s="50"/>
      <c r="B5" s="50"/>
      <c r="C5" s="50"/>
      <c r="D5" s="50"/>
    </row>
    <row r="6" spans="1:4" ht="18.75">
      <c r="A6" s="53" t="s">
        <v>152</v>
      </c>
      <c r="B6" s="53"/>
      <c r="C6" s="53"/>
      <c r="D6" s="53"/>
    </row>
    <row r="7" spans="1:4" ht="18.75">
      <c r="A7" s="50"/>
      <c r="B7" s="50"/>
      <c r="C7" s="52" t="s">
        <v>147</v>
      </c>
      <c r="D7" s="52" t="s">
        <v>153</v>
      </c>
    </row>
    <row r="8" spans="1:4" ht="18.75">
      <c r="A8" s="50" t="s">
        <v>43</v>
      </c>
      <c r="B8" s="50">
        <v>1</v>
      </c>
      <c r="C8" s="50" t="s">
        <v>141</v>
      </c>
      <c r="D8" s="50" t="s">
        <v>148</v>
      </c>
    </row>
    <row r="9" spans="1:4" ht="18.75">
      <c r="A9" s="50" t="s">
        <v>43</v>
      </c>
      <c r="B9" s="50">
        <v>3</v>
      </c>
      <c r="C9" s="50" t="s">
        <v>143</v>
      </c>
      <c r="D9" s="50" t="s">
        <v>149</v>
      </c>
    </row>
    <row r="10" spans="1:4" ht="18.75">
      <c r="A10" s="50" t="s">
        <v>43</v>
      </c>
      <c r="B10" s="50">
        <v>4</v>
      </c>
      <c r="C10" s="50" t="s">
        <v>144</v>
      </c>
      <c r="D10" s="50" t="s">
        <v>150</v>
      </c>
    </row>
    <row r="11" spans="1:4" ht="18.75">
      <c r="A11" s="50" t="s">
        <v>142</v>
      </c>
      <c r="B11" s="50">
        <v>4</v>
      </c>
      <c r="C11" s="50" t="s">
        <v>145</v>
      </c>
      <c r="D11" s="50" t="s">
        <v>151</v>
      </c>
    </row>
    <row r="12" spans="1:4" ht="18.75">
      <c r="A12" s="50" t="s">
        <v>142</v>
      </c>
      <c r="B12" s="50">
        <v>5</v>
      </c>
      <c r="C12" s="50" t="s">
        <v>146</v>
      </c>
      <c r="D12" s="50" t="s">
        <v>121</v>
      </c>
    </row>
  </sheetData>
  <sheetProtection/>
  <mergeCells count="1">
    <mergeCell ref="A6:D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31"/>
  <sheetViews>
    <sheetView zoomScalePageLayoutView="0" workbookViewId="0" topLeftCell="A1">
      <selection activeCell="A1" sqref="A1"/>
    </sheetView>
  </sheetViews>
  <sheetFormatPr defaultColWidth="9.140625" defaultRowHeight="15"/>
  <cols>
    <col min="1" max="1" width="13.8515625" style="0" customWidth="1"/>
  </cols>
  <sheetData>
    <row r="1" ht="15">
      <c r="A1" t="s">
        <v>75</v>
      </c>
    </row>
    <row r="5" spans="2:10" ht="15">
      <c r="B5" s="45" t="s">
        <v>71</v>
      </c>
      <c r="C5" s="45"/>
      <c r="D5" s="45"/>
      <c r="E5" s="45"/>
      <c r="F5" s="45"/>
      <c r="G5" s="45"/>
      <c r="H5" s="45"/>
      <c r="I5" s="45"/>
      <c r="J5" s="45"/>
    </row>
    <row r="6" spans="2:5" ht="15">
      <c r="B6" t="s">
        <v>73</v>
      </c>
      <c r="C6" t="s">
        <v>74</v>
      </c>
      <c r="D6" s="20" t="s">
        <v>76</v>
      </c>
      <c r="E6" s="20" t="s">
        <v>77</v>
      </c>
    </row>
    <row r="7" spans="2:10" ht="15">
      <c r="B7" s="45" t="s">
        <v>48</v>
      </c>
      <c r="C7" s="45"/>
      <c r="D7" s="45"/>
      <c r="E7" s="45" t="s">
        <v>61</v>
      </c>
      <c r="F7" s="45"/>
      <c r="G7" s="45"/>
      <c r="H7" s="45"/>
      <c r="I7" s="45"/>
      <c r="J7" s="45"/>
    </row>
    <row r="8" spans="2:10" ht="15">
      <c r="B8" s="19" t="s">
        <v>49</v>
      </c>
      <c r="C8" s="19" t="s">
        <v>58</v>
      </c>
      <c r="D8" s="19" t="s">
        <v>59</v>
      </c>
      <c r="E8" s="19" t="s">
        <v>62</v>
      </c>
      <c r="F8" s="19" t="s">
        <v>63</v>
      </c>
      <c r="G8" s="19" t="s">
        <v>59</v>
      </c>
      <c r="H8" s="19" t="s">
        <v>64</v>
      </c>
      <c r="I8" s="19" t="s">
        <v>65</v>
      </c>
      <c r="J8" s="19" t="s">
        <v>66</v>
      </c>
    </row>
    <row r="9" spans="1:7" ht="15">
      <c r="A9" s="16">
        <v>2006</v>
      </c>
      <c r="B9">
        <v>3.1</v>
      </c>
      <c r="D9" s="18">
        <v>13.155175320832049</v>
      </c>
      <c r="E9" s="18">
        <v>21.677874021769746</v>
      </c>
      <c r="G9" s="18">
        <f>D9</f>
        <v>13.155175320832049</v>
      </c>
    </row>
    <row r="10" spans="1:10" ht="15">
      <c r="A10" s="16">
        <v>2007</v>
      </c>
      <c r="B10" s="18">
        <v>3.1</v>
      </c>
      <c r="C10" s="18">
        <v>6.5</v>
      </c>
      <c r="D10" s="18">
        <v>12.865726667466737</v>
      </c>
      <c r="E10" s="18">
        <v>20.698653834991326</v>
      </c>
      <c r="F10" s="6"/>
      <c r="G10" s="18">
        <f>D10</f>
        <v>12.865726667466737</v>
      </c>
      <c r="H10" s="6"/>
      <c r="I10" s="6"/>
      <c r="J10" s="6"/>
    </row>
    <row r="11" spans="1:10" ht="15">
      <c r="A11" s="16">
        <v>2008</v>
      </c>
      <c r="B11" s="18">
        <v>3.3</v>
      </c>
      <c r="C11" s="18">
        <v>6.7</v>
      </c>
      <c r="D11" s="18">
        <v>12.49735336368569</v>
      </c>
      <c r="E11" s="18">
        <v>20.594573547297728</v>
      </c>
      <c r="F11" s="6"/>
      <c r="G11" s="18">
        <f>D11</f>
        <v>12.49735336368569</v>
      </c>
      <c r="H11" s="6"/>
      <c r="I11" s="6"/>
      <c r="J11" s="6"/>
    </row>
    <row r="12" spans="1:10" ht="15">
      <c r="A12" s="16">
        <v>2009</v>
      </c>
      <c r="B12" s="18">
        <v>3.4</v>
      </c>
      <c r="C12" s="18">
        <v>6.5</v>
      </c>
      <c r="D12" s="18">
        <v>11.95278413767354</v>
      </c>
      <c r="E12" s="18"/>
      <c r="F12" s="6"/>
      <c r="G12" s="18">
        <f>D12</f>
        <v>11.95278413767354</v>
      </c>
      <c r="H12" s="6"/>
      <c r="I12" s="6"/>
      <c r="J12" s="6"/>
    </row>
    <row r="13" spans="1:10" ht="15">
      <c r="A13" s="16">
        <v>2010</v>
      </c>
      <c r="B13" s="18">
        <v>3.8</v>
      </c>
      <c r="C13" s="18">
        <v>6.8</v>
      </c>
      <c r="D13" s="18">
        <v>11.316445685083576</v>
      </c>
      <c r="E13" s="18"/>
      <c r="F13" s="6"/>
      <c r="G13" s="18">
        <f>D13</f>
        <v>11.316445685083576</v>
      </c>
      <c r="H13" s="6"/>
      <c r="I13" s="6"/>
      <c r="J13" s="6"/>
    </row>
    <row r="14" spans="1:10" ht="15">
      <c r="A14" s="1"/>
      <c r="B14" s="6"/>
      <c r="C14" s="6"/>
      <c r="D14" s="6"/>
      <c r="E14" s="6"/>
      <c r="F14" s="6"/>
      <c r="G14" s="6"/>
      <c r="H14" s="6"/>
      <c r="I14" s="6"/>
      <c r="J14" s="6"/>
    </row>
    <row r="15" spans="1:10" ht="15">
      <c r="A15" s="1" t="s">
        <v>68</v>
      </c>
      <c r="B15" s="18">
        <f>AVERAGE(B9:B13)</f>
        <v>3.34</v>
      </c>
      <c r="C15" s="18">
        <f>AVERAGE(C9:C13)</f>
        <v>6.625</v>
      </c>
      <c r="D15" s="18">
        <f>AVERAGE(D9:D13)</f>
        <v>12.357497034948318</v>
      </c>
      <c r="E15" s="18">
        <f>AVERAGE(E9:E13)</f>
        <v>20.990367134686267</v>
      </c>
      <c r="F15" s="18">
        <f>$C15</f>
        <v>6.625</v>
      </c>
      <c r="G15" s="18">
        <f>AVERAGE(G9:G13)</f>
        <v>12.357497034948318</v>
      </c>
      <c r="H15" s="18">
        <f>$C15</f>
        <v>6.625</v>
      </c>
      <c r="I15" s="18">
        <f>$C15</f>
        <v>6.625</v>
      </c>
      <c r="J15" s="18">
        <f>$C15</f>
        <v>6.625</v>
      </c>
    </row>
    <row r="16" spans="1:10" ht="15">
      <c r="A16" s="1" t="s">
        <v>72</v>
      </c>
      <c r="B16" s="18">
        <f>100-B15</f>
        <v>96.66</v>
      </c>
      <c r="C16" s="18">
        <f>100-C15</f>
        <v>93.375</v>
      </c>
      <c r="D16" s="18">
        <f>100-D15</f>
        <v>87.64250296505168</v>
      </c>
      <c r="E16" s="18">
        <f aca="true" t="shared" si="0" ref="E16:J16">100-E15</f>
        <v>79.00963286531373</v>
      </c>
      <c r="F16" s="18">
        <f t="shared" si="0"/>
        <v>93.375</v>
      </c>
      <c r="G16" s="18">
        <f t="shared" si="0"/>
        <v>87.64250296505168</v>
      </c>
      <c r="H16" s="18">
        <f t="shared" si="0"/>
        <v>93.375</v>
      </c>
      <c r="I16" s="18">
        <f t="shared" si="0"/>
        <v>93.375</v>
      </c>
      <c r="J16" s="18">
        <f t="shared" si="0"/>
        <v>93.375</v>
      </c>
    </row>
    <row r="17" spans="1:10" ht="15">
      <c r="A17" s="1" t="s">
        <v>78</v>
      </c>
      <c r="B17" s="6">
        <v>1</v>
      </c>
      <c r="C17" s="6">
        <v>1</v>
      </c>
      <c r="D17" s="6">
        <v>1</v>
      </c>
      <c r="E17" s="21">
        <v>0.75</v>
      </c>
      <c r="F17" s="6">
        <v>1</v>
      </c>
      <c r="G17" s="6">
        <v>1</v>
      </c>
      <c r="H17" s="6">
        <v>1</v>
      </c>
      <c r="I17" s="6">
        <v>1</v>
      </c>
      <c r="J17" s="6">
        <v>1</v>
      </c>
    </row>
    <row r="18" spans="1:10" ht="15">
      <c r="A18" s="1" t="s">
        <v>79</v>
      </c>
      <c r="B18" s="22">
        <f>B16*B17/100</f>
        <v>0.9666</v>
      </c>
      <c r="C18" s="22">
        <f aca="true" t="shared" si="1" ref="C18:J18">C16*C17/100</f>
        <v>0.93375</v>
      </c>
      <c r="D18" s="22">
        <f t="shared" si="1"/>
        <v>0.8764250296505167</v>
      </c>
      <c r="E18" s="22">
        <f t="shared" si="1"/>
        <v>0.592572246489853</v>
      </c>
      <c r="F18" s="22">
        <f t="shared" si="1"/>
        <v>0.93375</v>
      </c>
      <c r="G18" s="22">
        <f t="shared" si="1"/>
        <v>0.8764250296505167</v>
      </c>
      <c r="H18" s="22">
        <f t="shared" si="1"/>
        <v>0.93375</v>
      </c>
      <c r="I18" s="22">
        <f t="shared" si="1"/>
        <v>0.93375</v>
      </c>
      <c r="J18" s="22">
        <f t="shared" si="1"/>
        <v>0.93375</v>
      </c>
    </row>
    <row r="19" spans="1:10" ht="15">
      <c r="A19" s="1"/>
      <c r="B19" s="6"/>
      <c r="C19" s="6"/>
      <c r="D19" s="6"/>
      <c r="E19" s="6"/>
      <c r="F19" s="6"/>
      <c r="G19" s="6"/>
      <c r="H19" s="6"/>
      <c r="I19" s="6"/>
      <c r="J19" s="6"/>
    </row>
    <row r="20" spans="1:10" ht="15">
      <c r="A20" s="1"/>
      <c r="B20" s="6"/>
      <c r="C20" s="6"/>
      <c r="D20" s="6"/>
      <c r="E20" s="6"/>
      <c r="F20" s="6"/>
      <c r="G20" s="6"/>
      <c r="H20" s="6"/>
      <c r="I20" s="6"/>
      <c r="J20" s="6"/>
    </row>
    <row r="21" spans="1:10" ht="15">
      <c r="A21" s="1"/>
      <c r="B21" s="6"/>
      <c r="C21" s="6"/>
      <c r="D21" s="6"/>
      <c r="E21" s="6"/>
      <c r="F21" s="6"/>
      <c r="G21" s="6"/>
      <c r="H21" s="6"/>
      <c r="I21" s="6"/>
      <c r="J21" s="6"/>
    </row>
    <row r="22" spans="1:10" ht="15">
      <c r="A22" s="1"/>
      <c r="B22" s="6"/>
      <c r="C22" s="6"/>
      <c r="D22" s="6"/>
      <c r="E22" s="6"/>
      <c r="F22" s="6"/>
      <c r="G22" s="6"/>
      <c r="H22" s="6"/>
      <c r="I22" s="6"/>
      <c r="J22" s="6"/>
    </row>
    <row r="23" spans="1:10" ht="15">
      <c r="A23" s="1"/>
      <c r="B23" s="6"/>
      <c r="C23" s="6"/>
      <c r="D23" s="6"/>
      <c r="E23" s="6"/>
      <c r="F23" s="6"/>
      <c r="G23" s="6"/>
      <c r="H23" s="6"/>
      <c r="I23" s="6"/>
      <c r="J23" s="6"/>
    </row>
    <row r="24" spans="1:10" ht="15">
      <c r="A24" s="1"/>
      <c r="B24" s="6"/>
      <c r="C24" s="6"/>
      <c r="D24" s="6"/>
      <c r="E24" s="6"/>
      <c r="F24" s="6"/>
      <c r="G24" s="6"/>
      <c r="H24" s="6"/>
      <c r="I24" s="6"/>
      <c r="J24" s="6"/>
    </row>
    <row r="25" spans="1:10" ht="15">
      <c r="A25" s="1"/>
      <c r="B25" s="6"/>
      <c r="C25" s="6"/>
      <c r="D25" s="6"/>
      <c r="E25" s="6"/>
      <c r="F25" s="6"/>
      <c r="G25" s="6"/>
      <c r="H25" s="6"/>
      <c r="I25" s="6"/>
      <c r="J25" s="6"/>
    </row>
    <row r="26" spans="1:10" ht="15">
      <c r="A26" s="1"/>
      <c r="B26" s="6"/>
      <c r="C26" s="6"/>
      <c r="D26" s="6"/>
      <c r="E26" s="6"/>
      <c r="F26" s="6"/>
      <c r="G26" s="6"/>
      <c r="H26" s="6"/>
      <c r="I26" s="6"/>
      <c r="J26" s="6"/>
    </row>
    <row r="27" spans="1:10" ht="15">
      <c r="A27" s="1"/>
      <c r="B27" s="6"/>
      <c r="C27" s="6"/>
      <c r="D27" s="6"/>
      <c r="E27" s="6"/>
      <c r="F27" s="6"/>
      <c r="G27" s="6"/>
      <c r="H27" s="6"/>
      <c r="I27" s="6"/>
      <c r="J27" s="6"/>
    </row>
    <row r="28" spans="1:10" ht="15">
      <c r="A28" s="1"/>
      <c r="B28" s="6"/>
      <c r="C28" s="6"/>
      <c r="D28" s="6"/>
      <c r="E28" s="6"/>
      <c r="F28" s="6"/>
      <c r="G28" s="6"/>
      <c r="H28" s="6"/>
      <c r="I28" s="6"/>
      <c r="J28" s="6"/>
    </row>
    <row r="29" spans="1:10" ht="15">
      <c r="A29" s="1"/>
      <c r="B29" s="6"/>
      <c r="C29" s="6"/>
      <c r="D29" s="6"/>
      <c r="E29" s="6"/>
      <c r="F29" s="6"/>
      <c r="G29" s="6"/>
      <c r="H29" s="6"/>
      <c r="I29" s="6"/>
      <c r="J29" s="6"/>
    </row>
    <row r="30" spans="1:10" ht="15">
      <c r="A30" s="1"/>
      <c r="B30" s="6"/>
      <c r="C30" s="6"/>
      <c r="D30" s="6"/>
      <c r="E30" s="6"/>
      <c r="F30" s="6"/>
      <c r="G30" s="6"/>
      <c r="H30" s="6"/>
      <c r="I30" s="6"/>
      <c r="J30" s="6"/>
    </row>
    <row r="31" spans="1:10" ht="15">
      <c r="A31" s="1"/>
      <c r="B31" s="6"/>
      <c r="C31" s="6"/>
      <c r="D31" s="6"/>
      <c r="E31" s="6"/>
      <c r="F31" s="6"/>
      <c r="G31" s="6"/>
      <c r="H31" s="6"/>
      <c r="I31" s="6"/>
      <c r="J31" s="6"/>
    </row>
  </sheetData>
  <sheetProtection/>
  <mergeCells count="3">
    <mergeCell ref="B7:D7"/>
    <mergeCell ref="E7:J7"/>
    <mergeCell ref="B5:J5"/>
  </mergeCells>
  <hyperlinks>
    <hyperlink ref="D6" r:id="rId1" display="http://www.socialsecurity.gov/policy/docs/statcomps/ssi_asr/2010/"/>
    <hyperlink ref="E6" r:id="rId2" display="https://www.cms.gov/MedicareMedicaidStatSupp/downloads/2010Medicaid.zip, Table 13.10"/>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I36"/>
  <sheetViews>
    <sheetView showGridLines="0" zoomScalePageLayoutView="0" workbookViewId="0" topLeftCell="A1">
      <selection activeCell="A1" sqref="A1"/>
    </sheetView>
  </sheetViews>
  <sheetFormatPr defaultColWidth="9.140625" defaultRowHeight="15"/>
  <cols>
    <col min="1" max="1" width="48.8515625" style="24" customWidth="1"/>
    <col min="2" max="2" width="9.421875" style="24" customWidth="1"/>
    <col min="3" max="4" width="9.140625" style="24" customWidth="1"/>
    <col min="5" max="5" width="9.7109375" style="24" hidden="1" customWidth="1"/>
    <col min="6" max="6" width="11.7109375" style="24" customWidth="1"/>
    <col min="7" max="8" width="9.140625" style="24" customWidth="1"/>
    <col min="9" max="9" width="12.7109375" style="24" customWidth="1"/>
    <col min="10" max="16384" width="9.140625" style="24" customWidth="1"/>
  </cols>
  <sheetData>
    <row r="1" spans="1:8" ht="18.75">
      <c r="A1" s="31" t="str">
        <f>"Table "&amp;C2&amp;". Means-tested Public Subsidies Found in the Personal Income Accounts, 2009"</f>
        <v>Table 3.1. Means-tested Public Subsidies Found in the Personal Income Accounts, 2009</v>
      </c>
      <c r="B1" s="23"/>
      <c r="C1" s="23"/>
      <c r="D1" s="23"/>
      <c r="E1" s="23"/>
      <c r="F1" s="23"/>
      <c r="G1" s="23"/>
      <c r="H1" s="23"/>
    </row>
    <row r="2" spans="1:8" ht="18.75" hidden="1">
      <c r="A2" s="23" t="s">
        <v>43</v>
      </c>
      <c r="B2" s="23"/>
      <c r="C2" s="25" t="s">
        <v>80</v>
      </c>
      <c r="D2" s="23"/>
      <c r="E2" s="23"/>
      <c r="F2" s="23"/>
      <c r="G2" s="23"/>
      <c r="H2" s="23"/>
    </row>
    <row r="3" spans="1:8" ht="18.75">
      <c r="A3" s="23"/>
      <c r="B3" s="23"/>
      <c r="C3" s="23"/>
      <c r="D3" s="23"/>
      <c r="E3" s="23"/>
      <c r="F3" s="23"/>
      <c r="G3" s="23"/>
      <c r="H3" s="23"/>
    </row>
    <row r="4" spans="1:8" ht="22.5">
      <c r="A4" s="26" t="s">
        <v>81</v>
      </c>
      <c r="B4" s="46" t="s">
        <v>130</v>
      </c>
      <c r="C4" s="46"/>
      <c r="D4" s="46"/>
      <c r="E4" s="23"/>
      <c r="F4" s="26" t="s">
        <v>131</v>
      </c>
      <c r="G4" s="23"/>
      <c r="H4" s="23"/>
    </row>
    <row r="5" spans="1:8" ht="18.75">
      <c r="A5" s="46" t="s">
        <v>48</v>
      </c>
      <c r="B5" s="46"/>
      <c r="C5" s="46"/>
      <c r="D5" s="46"/>
      <c r="E5" s="46"/>
      <c r="F5" s="46"/>
      <c r="G5" s="23"/>
      <c r="H5" s="23"/>
    </row>
    <row r="6" spans="1:8" ht="18.75">
      <c r="A6" s="23" t="s">
        <v>82</v>
      </c>
      <c r="B6" s="23"/>
      <c r="C6" s="27">
        <f>inclusion!B$18</f>
        <v>0.9666</v>
      </c>
      <c r="D6" s="27"/>
      <c r="E6" s="28">
        <f>AVERAGE(GovPrograms!B$22:B$25)</f>
        <v>130612</v>
      </c>
      <c r="F6" s="29">
        <f>E6*C6/E$17</f>
        <v>0.256182695099901</v>
      </c>
      <c r="G6" s="23"/>
      <c r="H6" s="23"/>
    </row>
    <row r="7" spans="1:8" ht="18.75">
      <c r="A7" s="23" t="s">
        <v>83</v>
      </c>
      <c r="B7" s="23"/>
      <c r="C7" s="27">
        <f>inclusion!C$18</f>
        <v>0.93375</v>
      </c>
      <c r="D7" s="23"/>
      <c r="E7" s="28">
        <f>AVERAGE(GovPrograms!C$22:C$25)</f>
        <v>54763</v>
      </c>
      <c r="F7" s="29">
        <f>E7*C7/E$17</f>
        <v>0.10376186426342034</v>
      </c>
      <c r="G7" s="23"/>
      <c r="H7" s="23"/>
    </row>
    <row r="8" spans="1:8" ht="18.75">
      <c r="A8" s="23" t="s">
        <v>84</v>
      </c>
      <c r="B8" s="23"/>
      <c r="C8" s="27">
        <f>inclusion!D$18</f>
        <v>0.8764250296505167</v>
      </c>
      <c r="D8" s="23"/>
      <c r="E8" s="28">
        <f>AVERAGE(GovPrograms!D$22:D$25)</f>
        <v>42622</v>
      </c>
      <c r="F8" s="29">
        <f aca="true" t="shared" si="0" ref="F8:F15">E8*C8/E$17</f>
        <v>0.0757998797220162</v>
      </c>
      <c r="G8" s="23"/>
      <c r="H8" s="23"/>
    </row>
    <row r="9" spans="1:8" ht="18.75">
      <c r="A9" s="46" t="s">
        <v>85</v>
      </c>
      <c r="B9" s="46"/>
      <c r="C9" s="46"/>
      <c r="D9" s="46"/>
      <c r="E9" s="46"/>
      <c r="F9" s="46"/>
      <c r="G9" s="23"/>
      <c r="H9" s="23"/>
    </row>
    <row r="10" spans="1:8" ht="18.75">
      <c r="A10" s="23" t="s">
        <v>62</v>
      </c>
      <c r="B10" s="23"/>
      <c r="C10" s="27">
        <f>inclusion!E$18</f>
        <v>0.592572246489853</v>
      </c>
      <c r="D10" s="23"/>
      <c r="E10" s="28">
        <f>AVERAGE(GovPrograms!E$22:E$25)</f>
        <v>374114</v>
      </c>
      <c r="F10" s="29">
        <f t="shared" si="0"/>
        <v>0.44984737178495926</v>
      </c>
      <c r="G10" s="23"/>
      <c r="H10" s="23"/>
    </row>
    <row r="11" spans="1:8" ht="18.75">
      <c r="A11" s="23" t="s">
        <v>63</v>
      </c>
      <c r="B11" s="23"/>
      <c r="C11" s="27">
        <f>inclusion!F$18</f>
        <v>0.93375</v>
      </c>
      <c r="D11" s="23"/>
      <c r="E11" s="28">
        <f>AVERAGE(GovPrograms!F$22:F$25)</f>
        <v>20554</v>
      </c>
      <c r="F11" s="29">
        <f t="shared" si="0"/>
        <v>0.03894456764732286</v>
      </c>
      <c r="G11" s="23"/>
      <c r="H11" s="23"/>
    </row>
    <row r="12" spans="1:8" ht="18.75">
      <c r="A12" s="23" t="s">
        <v>84</v>
      </c>
      <c r="B12" s="23"/>
      <c r="C12" s="27">
        <f>inclusion!G$18</f>
        <v>0.8764250296505167</v>
      </c>
      <c r="D12" s="23"/>
      <c r="E12" s="28">
        <f>AVERAGE(GovPrograms!G$22:G$25)</f>
        <v>5019</v>
      </c>
      <c r="F12" s="29">
        <f t="shared" si="0"/>
        <v>0.008925897337637823</v>
      </c>
      <c r="G12" s="23"/>
      <c r="H12" s="23"/>
    </row>
    <row r="13" spans="1:8" ht="18.75">
      <c r="A13" s="23" t="s">
        <v>64</v>
      </c>
      <c r="B13" s="23"/>
      <c r="C13" s="27">
        <f>inclusion!H$18</f>
        <v>0.93375</v>
      </c>
      <c r="D13" s="23"/>
      <c r="E13" s="28">
        <f>AVERAGE(GovPrograms!H$22:H$25)</f>
        <v>13201</v>
      </c>
      <c r="F13" s="29">
        <f t="shared" si="0"/>
        <v>0.025012515204452128</v>
      </c>
      <c r="G13" s="23"/>
      <c r="H13" s="23"/>
    </row>
    <row r="14" spans="1:8" ht="18.75">
      <c r="A14" s="23" t="s">
        <v>65</v>
      </c>
      <c r="B14" s="23"/>
      <c r="C14" s="27">
        <f>inclusion!I$18</f>
        <v>0.93375</v>
      </c>
      <c r="D14" s="23"/>
      <c r="E14" s="28">
        <f>AVERAGE(GovPrograms!I$22:I$25)</f>
        <v>5065</v>
      </c>
      <c r="F14" s="29">
        <f t="shared" si="0"/>
        <v>0.009596878229721235</v>
      </c>
      <c r="G14" s="23"/>
      <c r="H14" s="23"/>
    </row>
    <row r="15" spans="1:8" ht="18.75" customHeight="1">
      <c r="A15" s="23" t="s">
        <v>132</v>
      </c>
      <c r="B15" s="23"/>
      <c r="C15" s="27">
        <f>inclusion!J$18</f>
        <v>0.93375</v>
      </c>
      <c r="D15" s="23"/>
      <c r="E15" s="28">
        <f>AVERAGE(GovPrograms!J$22:J$25)</f>
        <v>16851</v>
      </c>
      <c r="F15" s="29">
        <f t="shared" si="0"/>
        <v>0.03192833071056911</v>
      </c>
      <c r="G15" s="23"/>
      <c r="H15" s="23"/>
    </row>
    <row r="16" spans="1:8" ht="18.75">
      <c r="A16" s="23"/>
      <c r="B16" s="23"/>
      <c r="C16" s="27"/>
      <c r="D16" s="23"/>
      <c r="E16" s="28"/>
      <c r="F16" s="29"/>
      <c r="G16" s="23"/>
      <c r="H16" s="23"/>
    </row>
    <row r="17" spans="1:8" ht="18.75">
      <c r="A17" s="23" t="s">
        <v>126</v>
      </c>
      <c r="B17" s="23"/>
      <c r="C17" s="23"/>
      <c r="D17" s="23"/>
      <c r="E17" s="28">
        <f>SUMPRODUCT($C6:$C8,E6:E8)+SUMPRODUCT($C10:$C15,E10:E15)</f>
        <v>492810.64496088517</v>
      </c>
      <c r="F17" s="23"/>
      <c r="G17" s="23"/>
      <c r="H17" s="23"/>
    </row>
    <row r="18" spans="1:9" ht="18.75" customHeight="1">
      <c r="A18" s="48" t="s">
        <v>127</v>
      </c>
      <c r="B18" s="48"/>
      <c r="C18" s="48"/>
      <c r="D18" s="48"/>
      <c r="E18" s="48"/>
      <c r="F18" s="48"/>
      <c r="G18" s="48"/>
      <c r="H18" s="48"/>
      <c r="I18" s="48"/>
    </row>
    <row r="19" spans="1:9" ht="18.75" customHeight="1">
      <c r="A19" s="48"/>
      <c r="B19" s="48"/>
      <c r="C19" s="48"/>
      <c r="D19" s="48"/>
      <c r="E19" s="48"/>
      <c r="F19" s="48"/>
      <c r="G19" s="48"/>
      <c r="H19" s="48"/>
      <c r="I19" s="48"/>
    </row>
    <row r="20" spans="1:9" ht="18.75" customHeight="1">
      <c r="A20" s="48" t="s">
        <v>128</v>
      </c>
      <c r="B20" s="48"/>
      <c r="C20" s="48"/>
      <c r="D20" s="48"/>
      <c r="E20" s="48"/>
      <c r="F20" s="48"/>
      <c r="G20" s="48"/>
      <c r="H20" s="48"/>
      <c r="I20" s="48"/>
    </row>
    <row r="21" spans="1:9" ht="18.75" customHeight="1">
      <c r="A21" s="48"/>
      <c r="B21" s="48"/>
      <c r="C21" s="48"/>
      <c r="D21" s="48"/>
      <c r="E21" s="48"/>
      <c r="F21" s="48"/>
      <c r="G21" s="48"/>
      <c r="H21" s="48"/>
      <c r="I21" s="48"/>
    </row>
    <row r="22" spans="1:9" ht="18.75" customHeight="1">
      <c r="A22" s="48" t="s">
        <v>129</v>
      </c>
      <c r="B22" s="48"/>
      <c r="C22" s="48"/>
      <c r="D22" s="48"/>
      <c r="E22" s="48"/>
      <c r="F22" s="48"/>
      <c r="G22" s="48"/>
      <c r="H22" s="48"/>
      <c r="I22" s="48"/>
    </row>
    <row r="23" spans="1:9" ht="18.75" customHeight="1">
      <c r="A23" s="48"/>
      <c r="B23" s="48"/>
      <c r="C23" s="48"/>
      <c r="D23" s="48"/>
      <c r="E23" s="48"/>
      <c r="F23" s="48"/>
      <c r="G23" s="48"/>
      <c r="H23" s="48"/>
      <c r="I23" s="48"/>
    </row>
    <row r="24" spans="1:9" ht="12.75">
      <c r="A24" s="48"/>
      <c r="B24" s="48"/>
      <c r="C24" s="48"/>
      <c r="D24" s="48"/>
      <c r="E24" s="48"/>
      <c r="F24" s="48"/>
      <c r="G24" s="48"/>
      <c r="H24" s="48"/>
      <c r="I24" s="48"/>
    </row>
    <row r="25" spans="1:9" ht="12.75">
      <c r="A25" s="48"/>
      <c r="B25" s="48"/>
      <c r="C25" s="48"/>
      <c r="D25" s="48"/>
      <c r="E25" s="48"/>
      <c r="F25" s="48"/>
      <c r="G25" s="48"/>
      <c r="H25" s="48"/>
      <c r="I25" s="48"/>
    </row>
    <row r="26" spans="1:8" ht="18.75">
      <c r="A26" s="23"/>
      <c r="B26" s="23"/>
      <c r="C26" s="23"/>
      <c r="D26" s="23"/>
      <c r="E26" s="23"/>
      <c r="F26" s="23"/>
      <c r="G26" s="23"/>
      <c r="H26" s="23"/>
    </row>
    <row r="27" spans="1:8" ht="18.75">
      <c r="A27" s="23"/>
      <c r="B27" s="23"/>
      <c r="C27" s="23"/>
      <c r="D27" s="23"/>
      <c r="E27" s="23"/>
      <c r="F27" s="23"/>
      <c r="G27" s="23"/>
      <c r="H27" s="23"/>
    </row>
    <row r="28" spans="1:8" ht="18.75">
      <c r="A28" s="23"/>
      <c r="B28" s="23"/>
      <c r="C28" s="23"/>
      <c r="D28" s="23"/>
      <c r="E28" s="23"/>
      <c r="F28" s="23"/>
      <c r="G28" s="23"/>
      <c r="H28" s="23"/>
    </row>
    <row r="29" spans="1:8" ht="18.75">
      <c r="A29" s="23"/>
      <c r="B29" s="23"/>
      <c r="C29" s="23"/>
      <c r="D29" s="23"/>
      <c r="E29" s="23"/>
      <c r="F29" s="23"/>
      <c r="G29" s="23"/>
      <c r="H29" s="23"/>
    </row>
    <row r="30" spans="1:8" ht="18.75">
      <c r="A30" s="23"/>
      <c r="B30" s="23"/>
      <c r="C30" s="23"/>
      <c r="D30" s="23"/>
      <c r="E30" s="23"/>
      <c r="F30" s="23"/>
      <c r="G30" s="23"/>
      <c r="H30" s="23"/>
    </row>
    <row r="31" spans="1:8" ht="18.75">
      <c r="A31" s="23"/>
      <c r="B31" s="23"/>
      <c r="C31" s="23"/>
      <c r="D31" s="23"/>
      <c r="E31" s="23"/>
      <c r="F31" s="23"/>
      <c r="G31" s="23"/>
      <c r="H31" s="23"/>
    </row>
    <row r="32" spans="1:8" ht="18.75">
      <c r="A32" s="23"/>
      <c r="B32" s="23"/>
      <c r="C32" s="23"/>
      <c r="D32" s="23"/>
      <c r="E32" s="23"/>
      <c r="F32" s="23"/>
      <c r="G32" s="23"/>
      <c r="H32" s="23"/>
    </row>
    <row r="33" spans="1:8" ht="18.75">
      <c r="A33" s="23"/>
      <c r="B33" s="23"/>
      <c r="C33" s="23"/>
      <c r="D33" s="23"/>
      <c r="E33" s="23"/>
      <c r="F33" s="23"/>
      <c r="G33" s="23"/>
      <c r="H33" s="23"/>
    </row>
    <row r="34" spans="1:8" ht="18.75">
      <c r="A34" s="23"/>
      <c r="B34" s="23"/>
      <c r="C34" s="23"/>
      <c r="D34" s="23"/>
      <c r="E34" s="23"/>
      <c r="F34" s="23"/>
      <c r="G34" s="23"/>
      <c r="H34" s="23"/>
    </row>
    <row r="35" spans="1:8" ht="18.75">
      <c r="A35" s="23"/>
      <c r="B35" s="23"/>
      <c r="C35" s="23"/>
      <c r="D35" s="23"/>
      <c r="E35" s="23"/>
      <c r="F35" s="23"/>
      <c r="G35" s="23"/>
      <c r="H35" s="23"/>
    </row>
    <row r="36" spans="1:8" ht="18.75">
      <c r="A36" s="23"/>
      <c r="B36" s="23"/>
      <c r="C36" s="23"/>
      <c r="D36" s="23"/>
      <c r="E36" s="23"/>
      <c r="F36" s="23"/>
      <c r="G36" s="23"/>
      <c r="H36" s="23"/>
    </row>
  </sheetData>
  <sheetProtection/>
  <mergeCells count="7">
    <mergeCell ref="B4:D4"/>
    <mergeCell ref="A24:I25"/>
    <mergeCell ref="A18:I19"/>
    <mergeCell ref="A20:I21"/>
    <mergeCell ref="A22:I23"/>
    <mergeCell ref="A5:F5"/>
    <mergeCell ref="A9:F9"/>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16"/>
  <sheetViews>
    <sheetView showGridLines="0" zoomScalePageLayoutView="0" workbookViewId="0" topLeftCell="A1">
      <selection activeCell="A1" sqref="A1"/>
    </sheetView>
  </sheetViews>
  <sheetFormatPr defaultColWidth="9.140625" defaultRowHeight="15"/>
  <cols>
    <col min="1" max="1" width="37.7109375" style="0" customWidth="1"/>
    <col min="2" max="6" width="12.7109375" style="0" customWidth="1"/>
  </cols>
  <sheetData>
    <row r="1" spans="1:6" ht="18.75">
      <c r="A1" s="15" t="str">
        <f>"Table "&amp;B2&amp;".  Consumer Loan Discharges by Type and Year"</f>
        <v>Table 3.3.  Consumer Loan Discharges by Type and Year</v>
      </c>
      <c r="B1" s="8"/>
      <c r="C1" s="8"/>
      <c r="D1" s="8"/>
      <c r="E1" s="8"/>
      <c r="F1" s="8"/>
    </row>
    <row r="2" spans="1:6" ht="18.75" hidden="1">
      <c r="A2" s="8" t="s">
        <v>43</v>
      </c>
      <c r="B2" s="8">
        <v>3.3</v>
      </c>
      <c r="C2" s="8"/>
      <c r="D2" s="8"/>
      <c r="E2" s="8"/>
      <c r="F2" s="8"/>
    </row>
    <row r="3" spans="1:6" ht="18.75">
      <c r="A3" s="8"/>
      <c r="B3" s="8"/>
      <c r="C3" s="8"/>
      <c r="D3" s="8"/>
      <c r="E3" s="8"/>
      <c r="F3" s="8"/>
    </row>
    <row r="4" spans="1:6" ht="18.75">
      <c r="A4" s="8"/>
      <c r="B4" s="10">
        <v>2006</v>
      </c>
      <c r="C4" s="10">
        <v>2007</v>
      </c>
      <c r="D4" s="10">
        <v>2008</v>
      </c>
      <c r="E4" s="10">
        <v>2009</v>
      </c>
      <c r="F4" s="10">
        <v>2010</v>
      </c>
    </row>
    <row r="5" spans="1:6" ht="18.75">
      <c r="A5" s="8"/>
      <c r="B5" s="8"/>
      <c r="C5" s="8"/>
      <c r="D5" s="8"/>
      <c r="E5" s="8"/>
      <c r="F5" s="8"/>
    </row>
    <row r="6" spans="1:6" ht="18.75">
      <c r="A6" s="49" t="s">
        <v>37</v>
      </c>
      <c r="B6" s="49"/>
      <c r="C6" s="49"/>
      <c r="D6" s="49"/>
      <c r="E6" s="49"/>
      <c r="F6" s="49"/>
    </row>
    <row r="7" spans="1:6" ht="18.75">
      <c r="A7" s="8" t="s">
        <v>36</v>
      </c>
      <c r="B7" s="8"/>
      <c r="C7" s="8"/>
      <c r="D7" s="9">
        <f>SUM(mortmetrics!C6:C9)/mortmetrics!$A$22</f>
        <v>1652438.0952380951</v>
      </c>
      <c r="E7" s="9">
        <f>SUM(mortmetrics!C10:C13)/mortmetrics!$A$22</f>
        <v>3248317.4603174604</v>
      </c>
      <c r="F7" s="9">
        <f>SUM(mortmetrics!C14:C17)/mortmetrics!$A$22</f>
        <v>3384809.523809524</v>
      </c>
    </row>
    <row r="8" spans="1:6" ht="18.75">
      <c r="A8" s="10" t="s">
        <v>39</v>
      </c>
      <c r="B8" s="10"/>
      <c r="C8" s="10"/>
      <c r="D8" s="11">
        <f>SUM(mortmetrics!B6:B9)/mortmetrics!$A$22</f>
        <v>75396.8253968254</v>
      </c>
      <c r="E8" s="11">
        <f>SUM(mortmetrics!B10:B13)/mortmetrics!$A$22</f>
        <v>185400</v>
      </c>
      <c r="F8" s="11">
        <f>SUM(mortmetrics!B14:B17)/mortmetrics!$A$22</f>
        <v>331031.74603174604</v>
      </c>
    </row>
    <row r="9" spans="1:6" ht="18.75">
      <c r="A9" s="8" t="s">
        <v>38</v>
      </c>
      <c r="B9" s="12" t="s">
        <v>42</v>
      </c>
      <c r="C9" s="12" t="s">
        <v>42</v>
      </c>
      <c r="D9" s="9">
        <f>D7+D8</f>
        <v>1727834.9206349205</v>
      </c>
      <c r="E9" s="9">
        <f>E7+E8</f>
        <v>3433717.4603174604</v>
      </c>
      <c r="F9" s="9">
        <f>F7+F8</f>
        <v>3715841.2698412696</v>
      </c>
    </row>
    <row r="10" spans="1:6" ht="18.75" hidden="1">
      <c r="A10" s="8" t="s">
        <v>40</v>
      </c>
      <c r="B10" s="13">
        <f>SUM(otherloans!$G10:$G13)*AnnualDischarges!C10/SUM(otherloans!$G14:$G17)</f>
        <v>2.560726756497922</v>
      </c>
      <c r="C10" s="13">
        <f>SUM(otherloans!$G14:$G17)*AnnualDischarges!D10/SUM(otherloans!$G18:$G21)</f>
        <v>6.920086399941904</v>
      </c>
      <c r="D10" s="13">
        <f>D9*mortmetrics!$A$31/1000000000</f>
        <v>35.107247758373006</v>
      </c>
      <c r="E10" s="13">
        <f>E9*mortmetrics!$A$31/1000000000</f>
        <v>69.76845309233535</v>
      </c>
      <c r="F10" s="13">
        <f>F9*mortmetrics!$A$31/1000000000</f>
        <v>75.500823911562</v>
      </c>
    </row>
    <row r="11" spans="1:6" ht="18.75" hidden="1">
      <c r="A11" s="8" t="s">
        <v>87</v>
      </c>
      <c r="B11" s="13">
        <v>102.723</v>
      </c>
      <c r="C11" s="13">
        <v>105.499</v>
      </c>
      <c r="D11" s="13">
        <v>108.943</v>
      </c>
      <c r="E11" s="13">
        <v>109.169</v>
      </c>
      <c r="F11" s="13">
        <v>111.112</v>
      </c>
    </row>
    <row r="12" spans="1:6" ht="18.75">
      <c r="A12" s="8" t="s">
        <v>133</v>
      </c>
      <c r="B12" s="13">
        <f>B10*$C$11/B$11</f>
        <v>2.629928176589218</v>
      </c>
      <c r="C12" s="13">
        <f>C10*$C$11/C$11</f>
        <v>6.920086399941904</v>
      </c>
      <c r="D12" s="13">
        <f>D10*$C$11/D$11</f>
        <v>33.9974071878009</v>
      </c>
      <c r="E12" s="13">
        <f>E10*$C$11/E$11</f>
        <v>67.4230049994805</v>
      </c>
      <c r="F12" s="13">
        <f>F10*$C$11/F$11</f>
        <v>71.6867793023785</v>
      </c>
    </row>
    <row r="13" spans="1:6" ht="18.75">
      <c r="A13" s="8"/>
      <c r="B13" s="13"/>
      <c r="C13" s="13"/>
      <c r="D13" s="13"/>
      <c r="E13" s="13"/>
      <c r="F13" s="13"/>
    </row>
    <row r="14" spans="1:6" ht="18.75">
      <c r="A14" s="49" t="s">
        <v>41</v>
      </c>
      <c r="B14" s="49"/>
      <c r="C14" s="49"/>
      <c r="D14" s="49"/>
      <c r="E14" s="49"/>
      <c r="F14" s="49"/>
    </row>
    <row r="15" spans="1:6" ht="18.75" hidden="1">
      <c r="A15" s="8" t="s">
        <v>40</v>
      </c>
      <c r="B15" s="14">
        <f>SUM(otherloans!F10:F13)/1000</f>
        <v>16.639175525</v>
      </c>
      <c r="C15" s="14">
        <f>SUM(otherloans!F14:F17)/1000</f>
        <v>22.00615375</v>
      </c>
      <c r="D15" s="14">
        <f>SUM(otherloans!F18:F21)/1000</f>
        <v>34.1987778</v>
      </c>
      <c r="E15" s="14">
        <f>SUM(otherloans!F22:F25)/1000</f>
        <v>52.966660000000005</v>
      </c>
      <c r="F15" s="14">
        <f>SUM(otherloans!F26:F29)/1000</f>
        <v>74.32565282499999</v>
      </c>
    </row>
    <row r="16" spans="1:6" ht="18.75">
      <c r="A16" s="8" t="s">
        <v>133</v>
      </c>
      <c r="B16" s="13">
        <f>B15*$C$11/B$11</f>
        <v>17.088834815104455</v>
      </c>
      <c r="C16" s="13">
        <f>C15*$C$11/C$11</f>
        <v>22.00615375</v>
      </c>
      <c r="D16" s="13">
        <f>D15*$C$11/D$11</f>
        <v>33.117656564645735</v>
      </c>
      <c r="E16" s="13">
        <f>E15*$C$11/E$11</f>
        <v>51.1860479013273</v>
      </c>
      <c r="F16" s="13">
        <f>F15*$C$11/F$11</f>
        <v>70.5709738586712</v>
      </c>
    </row>
  </sheetData>
  <sheetProtection/>
  <mergeCells count="2">
    <mergeCell ref="A6:F6"/>
    <mergeCell ref="A14:F14"/>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J37"/>
  <sheetViews>
    <sheetView showGridLines="0" zoomScalePageLayoutView="0" workbookViewId="0" topLeftCell="A1">
      <selection activeCell="A1" sqref="A1"/>
    </sheetView>
  </sheetViews>
  <sheetFormatPr defaultColWidth="9.140625" defaultRowHeight="15"/>
  <cols>
    <col min="1" max="1" width="40.57421875" style="24" customWidth="1"/>
    <col min="2" max="2" width="9.421875" style="24" customWidth="1"/>
    <col min="3" max="4" width="9.140625" style="24" customWidth="1"/>
    <col min="5" max="5" width="2.7109375" style="24" customWidth="1"/>
    <col min="6" max="9" width="9.140625" style="24" customWidth="1"/>
    <col min="10" max="10" width="12.7109375" style="24" customWidth="1"/>
    <col min="11" max="16384" width="9.140625" style="24" customWidth="1"/>
  </cols>
  <sheetData>
    <row r="1" spans="1:9" ht="18.75">
      <c r="A1" s="31" t="str">
        <f>"Table "&amp;C2&amp;" Number and Characteristics of Household Heads, Spouses"</f>
        <v>Table 3.4 Number and Characteristics of Household Heads, Spouses</v>
      </c>
      <c r="B1" s="23"/>
      <c r="C1" s="23"/>
      <c r="D1" s="23"/>
      <c r="E1" s="23"/>
      <c r="F1" s="23"/>
      <c r="G1" s="23"/>
      <c r="H1" s="23"/>
      <c r="I1" s="23"/>
    </row>
    <row r="2" spans="1:9" ht="18.75" hidden="1">
      <c r="A2" s="23" t="s">
        <v>43</v>
      </c>
      <c r="B2" s="23"/>
      <c r="C2" s="25">
        <v>3.4</v>
      </c>
      <c r="D2" s="25" t="s">
        <v>119</v>
      </c>
      <c r="E2" s="25" t="s">
        <v>120</v>
      </c>
      <c r="F2" s="23"/>
      <c r="G2" s="23"/>
      <c r="H2" s="23"/>
      <c r="I2" s="23"/>
    </row>
    <row r="3" spans="1:9" ht="18.75">
      <c r="A3" s="23"/>
      <c r="B3" s="23"/>
      <c r="C3" s="23"/>
      <c r="D3" s="23"/>
      <c r="E3" s="23"/>
      <c r="F3" s="23"/>
      <c r="G3" s="23"/>
      <c r="H3" s="23"/>
      <c r="I3" s="23"/>
    </row>
    <row r="4" spans="1:9" ht="18.75">
      <c r="A4" s="23"/>
      <c r="B4" s="47" t="s">
        <v>106</v>
      </c>
      <c r="C4" s="47"/>
      <c r="D4" s="47"/>
      <c r="E4" s="32"/>
      <c r="F4" s="47" t="s">
        <v>105</v>
      </c>
      <c r="G4" s="47"/>
      <c r="H4" s="47"/>
      <c r="I4" s="23"/>
    </row>
    <row r="5" spans="2:9" ht="18.75">
      <c r="B5" s="23">
        <v>2007</v>
      </c>
      <c r="C5" s="23">
        <v>2009</v>
      </c>
      <c r="D5" s="39" t="s">
        <v>117</v>
      </c>
      <c r="E5" s="23"/>
      <c r="F5" s="23">
        <v>2007</v>
      </c>
      <c r="G5" s="23">
        <v>2009</v>
      </c>
      <c r="H5" s="39" t="s">
        <v>117</v>
      </c>
      <c r="I5" s="23"/>
    </row>
    <row r="6" spans="1:9" ht="18.75">
      <c r="A6" s="46" t="s">
        <v>109</v>
      </c>
      <c r="B6" s="46"/>
      <c r="C6" s="46"/>
      <c r="D6" s="46"/>
      <c r="E6" s="46"/>
      <c r="F6" s="46"/>
      <c r="G6" s="46"/>
      <c r="H6" s="23"/>
      <c r="I6" s="23"/>
    </row>
    <row r="7" spans="1:10" ht="18.75">
      <c r="A7" s="23" t="s">
        <v>103</v>
      </c>
      <c r="B7" s="34">
        <v>42.56990833333334</v>
      </c>
      <c r="C7" s="34">
        <v>40.22378333333334</v>
      </c>
      <c r="D7" s="29">
        <f>C7/B7-1</f>
        <v>-0.0551122868677385</v>
      </c>
      <c r="E7" s="34"/>
      <c r="F7" s="34">
        <v>6.3362925</v>
      </c>
      <c r="G7" s="34">
        <v>8.1282025</v>
      </c>
      <c r="H7" s="29">
        <f>G7/F7-1</f>
        <v>0.2828010228378821</v>
      </c>
      <c r="I7" s="27"/>
      <c r="J7" s="34"/>
    </row>
    <row r="8" spans="1:10" ht="18.75">
      <c r="A8" s="23" t="s">
        <v>104</v>
      </c>
      <c r="B8" s="34">
        <v>33.6411</v>
      </c>
      <c r="C8" s="34">
        <v>32.89680833333333</v>
      </c>
      <c r="D8" s="29">
        <f>C8/B8-1</f>
        <v>-0.02212447472486534</v>
      </c>
      <c r="E8" s="34"/>
      <c r="F8" s="34">
        <v>16.380300000000002</v>
      </c>
      <c r="G8" s="34">
        <v>16.818725</v>
      </c>
      <c r="H8" s="29">
        <f>G8/F8-1</f>
        <v>0.026765382807396598</v>
      </c>
      <c r="I8" s="27"/>
      <c r="J8" s="34"/>
    </row>
    <row r="9" spans="1:10" ht="18.75">
      <c r="A9" s="23" t="s">
        <v>108</v>
      </c>
      <c r="B9" s="34">
        <v>16.043175</v>
      </c>
      <c r="C9" s="34">
        <v>15.023383333333333</v>
      </c>
      <c r="D9" s="29">
        <f>C9/B9-1</f>
        <v>-0.06356545176791173</v>
      </c>
      <c r="E9" s="34"/>
      <c r="F9" s="34">
        <v>4.094340833333333</v>
      </c>
      <c r="G9" s="34">
        <v>5.587774166666667</v>
      </c>
      <c r="H9" s="29">
        <f>G9/F9-1</f>
        <v>0.364755498901024</v>
      </c>
      <c r="I9" s="27"/>
      <c r="J9" s="34"/>
    </row>
    <row r="10" spans="1:10" ht="18.75">
      <c r="A10" s="26" t="s">
        <v>107</v>
      </c>
      <c r="B10" s="35">
        <v>18.541908333333335</v>
      </c>
      <c r="C10" s="35">
        <v>17.471966666666667</v>
      </c>
      <c r="D10" s="40">
        <f>C10/B10-1</f>
        <v>-0.05770396700447511</v>
      </c>
      <c r="E10" s="35"/>
      <c r="F10" s="35">
        <v>6.726945</v>
      </c>
      <c r="G10" s="35">
        <v>7.713969166666666</v>
      </c>
      <c r="H10" s="40">
        <f>G10/F10-1</f>
        <v>0.14672695654069812</v>
      </c>
      <c r="I10" s="27"/>
      <c r="J10" s="34"/>
    </row>
    <row r="11" spans="1:10" ht="18.75">
      <c r="A11" s="23" t="s">
        <v>110</v>
      </c>
      <c r="B11" s="34">
        <v>110.79608333333334</v>
      </c>
      <c r="C11" s="34">
        <v>105.61591666666668</v>
      </c>
      <c r="D11" s="29">
        <f>C11/B11-1</f>
        <v>-0.04675405944704725</v>
      </c>
      <c r="E11" s="34"/>
      <c r="F11" s="34">
        <v>33.537875</v>
      </c>
      <c r="G11" s="34">
        <v>38.248675</v>
      </c>
      <c r="H11" s="29">
        <f>G11/F11-1</f>
        <v>0.14046208950328554</v>
      </c>
      <c r="I11" s="27"/>
      <c r="J11" s="34"/>
    </row>
    <row r="12" spans="1:10" ht="18.75">
      <c r="A12" s="23"/>
      <c r="B12" s="23"/>
      <c r="C12" s="23"/>
      <c r="D12" s="23"/>
      <c r="E12" s="23"/>
      <c r="F12" s="23"/>
      <c r="G12" s="23"/>
      <c r="H12" s="23"/>
      <c r="I12" s="34"/>
      <c r="J12" s="34"/>
    </row>
    <row r="13" spans="1:9" ht="18.75">
      <c r="A13" s="46" t="s">
        <v>111</v>
      </c>
      <c r="B13" s="46"/>
      <c r="C13" s="46"/>
      <c r="D13" s="46"/>
      <c r="E13" s="46"/>
      <c r="F13" s="46"/>
      <c r="G13" s="46"/>
      <c r="H13" s="23"/>
      <c r="I13" s="23"/>
    </row>
    <row r="14" spans="1:9" ht="18.75">
      <c r="A14" s="23" t="s">
        <v>112</v>
      </c>
      <c r="B14" s="34">
        <v>40.46642</v>
      </c>
      <c r="C14" s="34">
        <v>39.23999</v>
      </c>
      <c r="D14" s="29">
        <f>C14/B14-1</f>
        <v>-0.030307351132123905</v>
      </c>
      <c r="E14" s="34"/>
      <c r="F14" s="23"/>
      <c r="G14" s="23"/>
      <c r="H14" s="23"/>
      <c r="I14" s="23"/>
    </row>
    <row r="15" spans="1:9" ht="18.75">
      <c r="A15" s="23" t="s">
        <v>113</v>
      </c>
      <c r="B15" s="33">
        <v>845.9262</v>
      </c>
      <c r="C15" s="33">
        <v>852.8451</v>
      </c>
      <c r="D15" s="29">
        <f>C15/B15-1</f>
        <v>0.008179082288738648</v>
      </c>
      <c r="E15" s="33"/>
      <c r="F15" s="23"/>
      <c r="G15" s="23"/>
      <c r="H15" s="23"/>
      <c r="I15" s="23"/>
    </row>
    <row r="16" spans="1:9" ht="18.75">
      <c r="A16" s="23" t="s">
        <v>114</v>
      </c>
      <c r="B16" s="33">
        <v>692.3</v>
      </c>
      <c r="C16" s="33">
        <v>696.3773</v>
      </c>
      <c r="D16" s="29">
        <f>C16/B16-1</f>
        <v>0.005889498772208679</v>
      </c>
      <c r="E16" s="33"/>
      <c r="F16" s="23"/>
      <c r="G16" s="23"/>
      <c r="H16" s="23"/>
      <c r="I16" s="23"/>
    </row>
    <row r="17" spans="1:9" ht="18.75">
      <c r="A17" s="23" t="s">
        <v>118</v>
      </c>
      <c r="B17" s="33">
        <v>438.46</v>
      </c>
      <c r="C17" s="33">
        <v>434.7527</v>
      </c>
      <c r="D17" s="29">
        <f>C17/B17-1</f>
        <v>-0.008455275281667562</v>
      </c>
      <c r="E17" s="33"/>
      <c r="F17" s="23"/>
      <c r="G17" s="23"/>
      <c r="H17" s="23"/>
      <c r="I17" s="23"/>
    </row>
    <row r="18" spans="1:9" ht="18.75">
      <c r="A18" s="23" t="s">
        <v>115</v>
      </c>
      <c r="B18" s="37">
        <f>1-(B$14/$B$14)</f>
        <v>0</v>
      </c>
      <c r="C18" s="38">
        <f>1-(C$14/$B$14)</f>
        <v>0.030307351132123905</v>
      </c>
      <c r="D18" s="38"/>
      <c r="E18" s="36"/>
      <c r="F18" s="23"/>
      <c r="G18" s="23"/>
      <c r="H18" s="23"/>
      <c r="I18" s="23"/>
    </row>
    <row r="19" spans="1:9" ht="18.75">
      <c r="A19" s="23"/>
      <c r="B19" s="23"/>
      <c r="C19" s="23"/>
      <c r="D19" s="23"/>
      <c r="E19" s="23"/>
      <c r="F19" s="23"/>
      <c r="G19" s="23"/>
      <c r="H19" s="23"/>
      <c r="I19" s="23"/>
    </row>
    <row r="20" spans="1:9" ht="18.75">
      <c r="A20" s="23"/>
      <c r="B20" s="23"/>
      <c r="C20" s="23"/>
      <c r="D20" s="23"/>
      <c r="E20" s="23"/>
      <c r="F20" s="23"/>
      <c r="G20" s="23"/>
      <c r="H20" s="23"/>
      <c r="I20" s="23"/>
    </row>
    <row r="21" spans="1:10" ht="18.75" customHeight="1">
      <c r="A21" s="48" t="s">
        <v>116</v>
      </c>
      <c r="B21" s="48"/>
      <c r="C21" s="48"/>
      <c r="D21" s="48"/>
      <c r="E21" s="48"/>
      <c r="F21" s="48"/>
      <c r="G21" s="48"/>
      <c r="H21" s="48"/>
      <c r="I21" s="48"/>
      <c r="J21" s="48"/>
    </row>
    <row r="22" spans="1:10" ht="18.75" customHeight="1">
      <c r="A22" s="48"/>
      <c r="B22" s="48"/>
      <c r="C22" s="48"/>
      <c r="D22" s="48"/>
      <c r="E22" s="48"/>
      <c r="F22" s="48"/>
      <c r="G22" s="48"/>
      <c r="H22" s="48"/>
      <c r="I22" s="48"/>
      <c r="J22" s="48"/>
    </row>
    <row r="23" spans="1:10" ht="18.75" customHeight="1">
      <c r="A23" s="48" t="str">
        <f>"Among the employed, the underemployment rate is one minus the ratio of average hours to average hours in 2007.  Because 2009 employment was 105.6 million, the absolute amount of underemployment was "&amp;TEXT($C$18*$C$11,"0.0")&amp;" million among the employed."</f>
        <v>Among the employed, the underemployment rate is one minus the ratio of average hours to average hours in 2007.  Because 2009 employment was 105.6 million, the absolute amount of underemployment was 3.2 million among the employed.</v>
      </c>
      <c r="B23" s="48"/>
      <c r="C23" s="48"/>
      <c r="D23" s="48"/>
      <c r="E23" s="48"/>
      <c r="F23" s="48"/>
      <c r="G23" s="48"/>
      <c r="H23" s="48"/>
      <c r="I23" s="48"/>
      <c r="J23" s="48"/>
    </row>
    <row r="24" spans="1:10" ht="18.75" customHeight="1">
      <c r="A24" s="48"/>
      <c r="B24" s="48"/>
      <c r="C24" s="48"/>
      <c r="D24" s="48"/>
      <c r="E24" s="48"/>
      <c r="F24" s="48"/>
      <c r="G24" s="48"/>
      <c r="H24" s="48"/>
      <c r="I24" s="48"/>
      <c r="J24" s="48"/>
    </row>
    <row r="25" spans="1:10" ht="18.75" customHeight="1">
      <c r="A25" s="48"/>
      <c r="B25" s="48"/>
      <c r="C25" s="48"/>
      <c r="D25" s="48"/>
      <c r="E25" s="48"/>
      <c r="F25" s="48"/>
      <c r="G25" s="48"/>
      <c r="H25" s="48"/>
      <c r="I25" s="48"/>
      <c r="J25" s="48"/>
    </row>
    <row r="26" spans="1:9" ht="18.75">
      <c r="A26" s="23"/>
      <c r="B26" s="23"/>
      <c r="C26" s="23"/>
      <c r="D26" s="23"/>
      <c r="E26" s="23"/>
      <c r="F26" s="23"/>
      <c r="G26" s="23"/>
      <c r="H26" s="23"/>
      <c r="I26" s="23"/>
    </row>
    <row r="27" spans="1:9" ht="18.75">
      <c r="A27" s="23"/>
      <c r="B27" s="23"/>
      <c r="C27" s="23"/>
      <c r="D27" s="23"/>
      <c r="E27" s="23"/>
      <c r="F27" s="23"/>
      <c r="G27" s="23"/>
      <c r="H27" s="23"/>
      <c r="I27" s="23"/>
    </row>
    <row r="28" spans="1:9" ht="18.75">
      <c r="A28" s="23"/>
      <c r="B28" s="23"/>
      <c r="C28" s="23"/>
      <c r="D28" s="23"/>
      <c r="E28" s="23"/>
      <c r="F28" s="23"/>
      <c r="G28" s="23"/>
      <c r="H28" s="23"/>
      <c r="I28" s="23"/>
    </row>
    <row r="29" spans="1:9" ht="18.75">
      <c r="A29" s="23"/>
      <c r="B29" s="23"/>
      <c r="C29" s="23"/>
      <c r="D29" s="23"/>
      <c r="E29" s="23"/>
      <c r="F29" s="23"/>
      <c r="G29" s="23"/>
      <c r="H29" s="23"/>
      <c r="I29" s="23"/>
    </row>
    <row r="30" spans="1:9" ht="18.75">
      <c r="A30" s="23"/>
      <c r="B30" s="23"/>
      <c r="C30" s="23"/>
      <c r="D30" s="23"/>
      <c r="E30" s="23"/>
      <c r="F30" s="23"/>
      <c r="G30" s="23"/>
      <c r="H30" s="23"/>
      <c r="I30" s="23"/>
    </row>
    <row r="31" spans="1:9" ht="18.75">
      <c r="A31" s="23"/>
      <c r="B31" s="23"/>
      <c r="C31" s="23"/>
      <c r="D31" s="23"/>
      <c r="E31" s="23"/>
      <c r="F31" s="23"/>
      <c r="G31" s="23"/>
      <c r="H31" s="23"/>
      <c r="I31" s="23"/>
    </row>
    <row r="32" spans="1:9" ht="18.75">
      <c r="A32" s="23"/>
      <c r="B32" s="23"/>
      <c r="C32" s="23"/>
      <c r="D32" s="23"/>
      <c r="E32" s="23"/>
      <c r="F32" s="23"/>
      <c r="G32" s="23"/>
      <c r="H32" s="23"/>
      <c r="I32" s="23"/>
    </row>
    <row r="33" spans="1:9" ht="18.75">
      <c r="A33" s="23"/>
      <c r="B33" s="23"/>
      <c r="C33" s="23"/>
      <c r="D33" s="23"/>
      <c r="E33" s="23"/>
      <c r="F33" s="23"/>
      <c r="G33" s="23"/>
      <c r="H33" s="23"/>
      <c r="I33" s="23"/>
    </row>
    <row r="34" spans="1:9" ht="18.75">
      <c r="A34" s="23"/>
      <c r="B34" s="23"/>
      <c r="C34" s="23"/>
      <c r="D34" s="23"/>
      <c r="E34" s="23"/>
      <c r="F34" s="23"/>
      <c r="G34" s="23"/>
      <c r="H34" s="23"/>
      <c r="I34" s="23"/>
    </row>
    <row r="35" spans="1:9" ht="18.75">
      <c r="A35" s="23"/>
      <c r="B35" s="23"/>
      <c r="C35" s="23"/>
      <c r="D35" s="23"/>
      <c r="E35" s="23"/>
      <c r="F35" s="23"/>
      <c r="G35" s="23"/>
      <c r="H35" s="23"/>
      <c r="I35" s="23"/>
    </row>
    <row r="36" spans="1:9" ht="18.75">
      <c r="A36" s="23"/>
      <c r="B36" s="23"/>
      <c r="C36" s="23"/>
      <c r="D36" s="23"/>
      <c r="E36" s="23"/>
      <c r="F36" s="23"/>
      <c r="G36" s="23"/>
      <c r="H36" s="23"/>
      <c r="I36" s="23"/>
    </row>
    <row r="37" spans="1:9" ht="18.75">
      <c r="A37" s="23"/>
      <c r="B37" s="23"/>
      <c r="C37" s="23"/>
      <c r="D37" s="23"/>
      <c r="E37" s="23"/>
      <c r="F37" s="23"/>
      <c r="G37" s="23"/>
      <c r="H37" s="23"/>
      <c r="I37" s="23"/>
    </row>
  </sheetData>
  <sheetProtection/>
  <mergeCells count="6">
    <mergeCell ref="A6:G6"/>
    <mergeCell ref="A13:G13"/>
    <mergeCell ref="B4:D4"/>
    <mergeCell ref="F4:H4"/>
    <mergeCell ref="A23:J25"/>
    <mergeCell ref="A21:J22"/>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Y41"/>
  <sheetViews>
    <sheetView zoomScalePageLayoutView="0" workbookViewId="0" topLeftCell="A1">
      <selection activeCell="A1" sqref="A1"/>
    </sheetView>
  </sheetViews>
  <sheetFormatPr defaultColWidth="9.140625" defaultRowHeight="15"/>
  <cols>
    <col min="1" max="1" width="10.140625" style="0" customWidth="1"/>
  </cols>
  <sheetData>
    <row r="1" spans="1:24" ht="15">
      <c r="A1" t="str">
        <f>"Figure "&amp;B2&amp;".  Transfers and Loan Discharges for the Non-elderly Unemployed and Financially Distressed"</f>
        <v>Figure 3.4.  Transfers and Loan Discharges for the Non-elderly Unemployed and Financially Distressed</v>
      </c>
      <c r="X1" t="str">
        <f>"Figure "&amp;Y2&amp;".  Labor Market Distortions Measured from Productivity and the Safety Net"</f>
        <v>Figure 3.5.  Labor Market Distortions Measured from Productivity and the Safety Net</v>
      </c>
    </row>
    <row r="2" spans="2:25" ht="15">
      <c r="B2" s="30" t="s">
        <v>98</v>
      </c>
      <c r="Y2" s="30">
        <v>3.5</v>
      </c>
    </row>
    <row r="3" spans="1:17" ht="15">
      <c r="A3" s="5">
        <v>40452</v>
      </c>
      <c r="B3" t="s">
        <v>96</v>
      </c>
      <c r="Q3" s="6">
        <v>36000</v>
      </c>
    </row>
    <row r="4" spans="1:8" ht="15">
      <c r="A4">
        <f>MATCH(A3,$A$10:$A$57,0)</f>
        <v>20</v>
      </c>
      <c r="B4" t="s">
        <v>97</v>
      </c>
      <c r="F4" s="2">
        <f>SUM(F18:F21)</f>
        <v>128.83925622009815</v>
      </c>
      <c r="H4" t="s">
        <v>95</v>
      </c>
    </row>
    <row r="5" spans="3:25" ht="15">
      <c r="C5" s="44" t="s">
        <v>99</v>
      </c>
      <c r="D5" s="44"/>
      <c r="E5" s="44"/>
      <c r="F5" s="44"/>
      <c r="G5" s="44"/>
      <c r="K5" s="44" t="s">
        <v>101</v>
      </c>
      <c r="L5" s="44"/>
      <c r="M5" s="44"/>
      <c r="N5" s="44"/>
      <c r="O5" s="44"/>
      <c r="X5" t="s">
        <v>124</v>
      </c>
      <c r="Y5" t="s">
        <v>125</v>
      </c>
    </row>
    <row r="6" ht="15">
      <c r="B6">
        <f>MATCH(B7,Fredconnect!$A$1:$J$1,0)</f>
        <v>9</v>
      </c>
    </row>
    <row r="7" spans="2:25" ht="15">
      <c r="B7" t="s">
        <v>87</v>
      </c>
      <c r="I7" t="s">
        <v>102</v>
      </c>
      <c r="V7" t="s">
        <v>100</v>
      </c>
      <c r="X7" s="45" t="s">
        <v>121</v>
      </c>
      <c r="Y7" s="45"/>
    </row>
    <row r="8" spans="2:25" ht="15">
      <c r="B8" t="s">
        <v>86</v>
      </c>
      <c r="C8" t="s">
        <v>62</v>
      </c>
      <c r="D8" s="19" t="s">
        <v>49</v>
      </c>
      <c r="E8" t="s">
        <v>92</v>
      </c>
      <c r="F8" t="s">
        <v>93</v>
      </c>
      <c r="G8" t="s">
        <v>94</v>
      </c>
      <c r="K8" t="s">
        <v>62</v>
      </c>
      <c r="L8" s="19" t="s">
        <v>49</v>
      </c>
      <c r="M8" t="s">
        <v>92</v>
      </c>
      <c r="N8" t="s">
        <v>93</v>
      </c>
      <c r="O8" t="s">
        <v>94</v>
      </c>
      <c r="Q8" t="str">
        <f>"self-reliance rate, at $"&amp;TEXT(Q3,"0,000")&amp;"/yr"</f>
        <v>self-reliance rate, at $36,000/yr</v>
      </c>
      <c r="V8">
        <v>33.678</v>
      </c>
      <c r="X8" t="s">
        <v>122</v>
      </c>
      <c r="Y8" t="s">
        <v>123</v>
      </c>
    </row>
    <row r="9" spans="1:22" ht="15">
      <c r="A9" s="5">
        <f>GovPrograms!A9</f>
        <v>38626</v>
      </c>
      <c r="B9">
        <f>VLOOKUP($A9,Fredconnect!$A$8:$J$39,B$6+1)</f>
        <v>101.371</v>
      </c>
      <c r="F9" s="2">
        <f>F$4*otherloans!G9/otherloans!G$7</f>
        <v>1.2256705919897903</v>
      </c>
      <c r="G9" s="2">
        <f>otherloans!F9*0.4/Summary!$B9</f>
        <v>23.700182892543232</v>
      </c>
      <c r="I9">
        <v>32.70494</v>
      </c>
      <c r="V9">
        <v>32.62706</v>
      </c>
    </row>
    <row r="10" spans="1:22" ht="15">
      <c r="A10" s="5">
        <f>GovPrograms!A10</f>
        <v>38718</v>
      </c>
      <c r="B10">
        <f>VLOOKUP($A10,Fredconnect!$A$8:$J$39,B$6+1)</f>
        <v>101.794</v>
      </c>
      <c r="C10" s="2">
        <f>GovPrograms!O10*0.1/Summary!$B10</f>
        <v>169.11774639099173</v>
      </c>
      <c r="D10" s="2">
        <f>GovPrograms!L10*0.1/Summary!$B10</f>
        <v>28.56290940526947</v>
      </c>
      <c r="E10" s="2">
        <f>GovPrograms!U10*0.1/Summary!$B10-C10-D10</f>
        <v>102.98263058199393</v>
      </c>
      <c r="F10" s="2">
        <f>F$4*otherloans!G10/otherloans!G$7</f>
        <v>1.85687924387276</v>
      </c>
      <c r="G10" s="2">
        <f>otherloans!F10*0.4/Summary!$B10</f>
        <v>13.822450832072619</v>
      </c>
      <c r="I10">
        <v>34.23985</v>
      </c>
      <c r="K10" s="6">
        <f>C10*1000/$I10</f>
        <v>4939.208156314696</v>
      </c>
      <c r="L10" s="6">
        <f aca="true" t="shared" si="0" ref="L10:O25">D10*1000/$I10</f>
        <v>834.2007749820594</v>
      </c>
      <c r="M10" s="6">
        <f t="shared" si="0"/>
        <v>3007.6834618724656</v>
      </c>
      <c r="N10" s="6">
        <f t="shared" si="0"/>
        <v>54.2315239077496</v>
      </c>
      <c r="O10" s="6">
        <f t="shared" si="0"/>
        <v>403.69484188957074</v>
      </c>
      <c r="Q10" s="21">
        <f>1-SUM(K10:O10)/Q$3</f>
        <v>0.7433605900287072</v>
      </c>
      <c r="V10">
        <v>33.90057</v>
      </c>
    </row>
    <row r="11" spans="1:22" ht="15">
      <c r="A11" s="5">
        <f>GovPrograms!A11</f>
        <v>38808</v>
      </c>
      <c r="B11">
        <f>VLOOKUP($A11,Fredconnect!$A$8:$J$39,B$6+1)</f>
        <v>102.548</v>
      </c>
      <c r="C11" s="2">
        <f>GovPrograms!O11*0.1/Summary!$B11</f>
        <v>171.082497829073</v>
      </c>
      <c r="D11" s="2">
        <f>GovPrograms!L11*0.1/Summary!$B11</f>
        <v>28.149298279829935</v>
      </c>
      <c r="E11" s="2">
        <f>GovPrograms!U11*0.1/Summary!$B11-C11-D11</f>
        <v>102.8226953097651</v>
      </c>
      <c r="F11" s="2">
        <f>F$4*otherloans!G11/otherloans!G$7</f>
        <v>2.118372934158234</v>
      </c>
      <c r="G11" s="2">
        <f>otherloans!F11*0.4/Summary!$B11</f>
        <v>15.331178082458948</v>
      </c>
      <c r="I11">
        <v>33.50646</v>
      </c>
      <c r="K11" s="6">
        <f aca="true" t="shared" si="1" ref="K11:K29">C11*1000/$I11</f>
        <v>5105.95562255974</v>
      </c>
      <c r="L11" s="6">
        <f t="shared" si="0"/>
        <v>840.1155562190078</v>
      </c>
      <c r="M11" s="6">
        <f t="shared" si="0"/>
        <v>3068.7424248865773</v>
      </c>
      <c r="N11" s="6">
        <f t="shared" si="0"/>
        <v>63.22282133529576</v>
      </c>
      <c r="O11" s="6">
        <f t="shared" si="0"/>
        <v>457.5588731981519</v>
      </c>
      <c r="Q11" s="21">
        <f aca="true" t="shared" si="2" ref="Q11:Q29">1-SUM(K11:O11)/Q$3</f>
        <v>0.7351223528278119</v>
      </c>
      <c r="V11">
        <v>33.3386</v>
      </c>
    </row>
    <row r="12" spans="1:22" ht="15">
      <c r="A12" s="5">
        <f>GovPrograms!A12</f>
        <v>38899</v>
      </c>
      <c r="B12">
        <f>VLOOKUP($A12,Fredconnect!$A$8:$J$39,B$6+1)</f>
        <v>103.286</v>
      </c>
      <c r="C12" s="2">
        <f>GovPrograms!O12*0.1/Summary!$B12</f>
        <v>176.68275374108313</v>
      </c>
      <c r="D12" s="2">
        <f>GovPrograms!L12*0.1/Summary!$B12</f>
        <v>28.861553356698874</v>
      </c>
      <c r="E12" s="2">
        <f>GovPrograms!U12*0.1/Summary!$B12-C12-D12</f>
        <v>101.83290531293095</v>
      </c>
      <c r="F12" s="2">
        <f>F$4*otherloans!G12/otherloans!G$7</f>
        <v>2.5843208351004217</v>
      </c>
      <c r="G12" s="2">
        <f>otherloans!F12*0.4/Summary!$B12</f>
        <v>17.639275894119244</v>
      </c>
      <c r="I12">
        <v>32.79717</v>
      </c>
      <c r="K12" s="6">
        <f t="shared" si="1"/>
        <v>5387.134125934742</v>
      </c>
      <c r="L12" s="6">
        <f t="shared" si="0"/>
        <v>880.0013341608094</v>
      </c>
      <c r="M12" s="6">
        <f t="shared" si="0"/>
        <v>3104.9296421895833</v>
      </c>
      <c r="N12" s="6">
        <f t="shared" si="0"/>
        <v>78.79706801228343</v>
      </c>
      <c r="O12" s="6">
        <f t="shared" si="0"/>
        <v>537.8292058162104</v>
      </c>
      <c r="Q12" s="21">
        <f t="shared" si="2"/>
        <v>0.7225363506635103</v>
      </c>
      <c r="V12">
        <v>33.24446</v>
      </c>
    </row>
    <row r="13" spans="1:22" ht="15">
      <c r="A13" s="5">
        <f>GovPrograms!A13</f>
        <v>38991</v>
      </c>
      <c r="B13">
        <f>VLOOKUP($A13,Fredconnect!$A$8:$J$39,B$6+1)</f>
        <v>103.264</v>
      </c>
      <c r="C13" s="2">
        <f>GovPrograms!O13*0.1/Summary!$B13</f>
        <v>173.0868275141786</v>
      </c>
      <c r="D13" s="2">
        <f>GovPrograms!L13*0.1/Summary!$B13</f>
        <v>28.721678803842583</v>
      </c>
      <c r="E13" s="2">
        <f>GovPrograms!U13*0.1/Summary!$B13-C13-D13</f>
        <v>102.60762510542604</v>
      </c>
      <c r="F13" s="2">
        <f>F$4*otherloans!G13/otherloans!G$7</f>
        <v>2.837977400412777</v>
      </c>
      <c r="G13" s="2">
        <f>otherloans!F13*0.4/Summary!$B13</f>
        <v>17.959363863495508</v>
      </c>
      <c r="I13">
        <v>32.7916</v>
      </c>
      <c r="K13" s="6">
        <f t="shared" si="1"/>
        <v>5278.389206814507</v>
      </c>
      <c r="L13" s="6">
        <f t="shared" si="0"/>
        <v>875.8852512180736</v>
      </c>
      <c r="M13" s="6">
        <f t="shared" si="0"/>
        <v>3129.082603637091</v>
      </c>
      <c r="N13" s="6">
        <f t="shared" si="0"/>
        <v>86.5458654171427</v>
      </c>
      <c r="O13" s="6">
        <f t="shared" si="0"/>
        <v>547.6818411878501</v>
      </c>
      <c r="Q13" s="21">
        <f t="shared" si="2"/>
        <v>0.7245115342145927</v>
      </c>
      <c r="V13">
        <v>32.82349</v>
      </c>
    </row>
    <row r="14" spans="1:22" ht="15">
      <c r="A14" s="5">
        <f>GovPrograms!A14</f>
        <v>39083</v>
      </c>
      <c r="B14">
        <f>VLOOKUP($A14,Fredconnect!$A$8:$J$39,B$6+1)</f>
        <v>104.267</v>
      </c>
      <c r="C14" s="2">
        <f>GovPrograms!O14*0.1/Summary!$B14</f>
        <v>188.64878772750902</v>
      </c>
      <c r="D14" s="2">
        <f>GovPrograms!L14*0.1/Summary!$B14</f>
        <v>29.409514419710934</v>
      </c>
      <c r="E14" s="2">
        <f>GovPrograms!U14*0.1/Summary!$B14-C14-D14</f>
        <v>104.05696416347375</v>
      </c>
      <c r="F14" s="2">
        <f>F$4*otherloans!G14/otherloans!G$7</f>
        <v>3.469159894005098</v>
      </c>
      <c r="G14" s="2">
        <f>otherloans!F14*0.4/Summary!$B14</f>
        <v>19.026450746640833</v>
      </c>
      <c r="I14">
        <v>33.96373</v>
      </c>
      <c r="K14" s="6">
        <f t="shared" si="1"/>
        <v>5554.419014858175</v>
      </c>
      <c r="L14" s="6">
        <f t="shared" si="0"/>
        <v>865.9094398557206</v>
      </c>
      <c r="M14" s="6">
        <f t="shared" si="0"/>
        <v>3063.7672647696163</v>
      </c>
      <c r="N14" s="6">
        <f t="shared" si="0"/>
        <v>102.14307715922538</v>
      </c>
      <c r="O14" s="6">
        <f t="shared" si="0"/>
        <v>560.1990931691199</v>
      </c>
      <c r="Q14" s="21">
        <f t="shared" si="2"/>
        <v>0.7181545030607817</v>
      </c>
      <c r="V14">
        <v>33.59728</v>
      </c>
    </row>
    <row r="15" spans="1:22" ht="15">
      <c r="A15" s="5">
        <f>GovPrograms!A15</f>
        <v>39173</v>
      </c>
      <c r="B15">
        <f>VLOOKUP($A15,Fredconnect!$A$8:$J$39,B$6+1)</f>
        <v>105.158</v>
      </c>
      <c r="C15" s="2">
        <f>GovPrograms!O15*0.1/Summary!$B15</f>
        <v>176.80356964726442</v>
      </c>
      <c r="D15" s="2">
        <f>GovPrograms!L15*0.1/Summary!$B15</f>
        <v>28.46174556381826</v>
      </c>
      <c r="E15" s="2">
        <f>GovPrograms!U15*0.1/Summary!$B15-C15-D15</f>
        <v>104.06625515084585</v>
      </c>
      <c r="F15" s="2">
        <f>F$4*otherloans!G15/otherloans!G$7</f>
        <v>4.486592548098581</v>
      </c>
      <c r="G15" s="2">
        <f>otherloans!F15*0.4/Summary!$B15</f>
        <v>19.240096236139905</v>
      </c>
      <c r="I15">
        <v>33.16071</v>
      </c>
      <c r="K15" s="6">
        <f t="shared" si="1"/>
        <v>5331.718459805728</v>
      </c>
      <c r="L15" s="6">
        <f t="shared" si="0"/>
        <v>858.2972307836068</v>
      </c>
      <c r="M15" s="6">
        <f t="shared" si="0"/>
        <v>3138.2396562331096</v>
      </c>
      <c r="N15" s="6">
        <f t="shared" si="0"/>
        <v>135.2984465078878</v>
      </c>
      <c r="O15" s="6">
        <f t="shared" si="0"/>
        <v>580.2076082249115</v>
      </c>
      <c r="Q15" s="21">
        <f t="shared" si="2"/>
        <v>0.7210066277345766</v>
      </c>
      <c r="V15">
        <v>33.51563</v>
      </c>
    </row>
    <row r="16" spans="1:22" ht="15">
      <c r="A16" s="5">
        <f>GovPrograms!A16</f>
        <v>39264</v>
      </c>
      <c r="B16">
        <f>VLOOKUP($A16,Fredconnect!$A$8:$J$39,B$6+1)</f>
        <v>105.739</v>
      </c>
      <c r="C16" s="2">
        <f>GovPrograms!O16*0.1/Summary!$B16</f>
        <v>178.64087032133597</v>
      </c>
      <c r="D16" s="2">
        <f>GovPrograms!L16*0.1/Summary!$B16</f>
        <v>30.349369674386935</v>
      </c>
      <c r="E16" s="2">
        <f>GovPrograms!U16*0.1/Summary!$B16-C16-D16</f>
        <v>104.55444860887206</v>
      </c>
      <c r="F16" s="2">
        <f>F$4*otherloans!G16/otherloans!G$7</f>
        <v>6.478909311464705</v>
      </c>
      <c r="G16" s="2">
        <f>otherloans!F16*0.4/Summary!$B16</f>
        <v>21.69133082401006</v>
      </c>
      <c r="I16">
        <v>33.95701</v>
      </c>
      <c r="K16" s="6">
        <f t="shared" si="1"/>
        <v>5260.79505590557</v>
      </c>
      <c r="L16" s="6">
        <f t="shared" si="0"/>
        <v>893.7585987219411</v>
      </c>
      <c r="M16" s="6">
        <f t="shared" si="0"/>
        <v>3079.023995601264</v>
      </c>
      <c r="N16" s="6">
        <f t="shared" si="0"/>
        <v>190.79740270019965</v>
      </c>
      <c r="O16" s="6">
        <f t="shared" si="0"/>
        <v>638.7880094275102</v>
      </c>
      <c r="Q16" s="21">
        <f t="shared" si="2"/>
        <v>0.7204676927123199</v>
      </c>
      <c r="V16">
        <v>33.88401</v>
      </c>
    </row>
    <row r="17" spans="1:25" ht="15">
      <c r="A17" s="5">
        <f>GovPrograms!A17</f>
        <v>39356</v>
      </c>
      <c r="B17">
        <f>VLOOKUP($A17,Fredconnect!$A$8:$J$39,B$6+1)</f>
        <v>106.833</v>
      </c>
      <c r="C17" s="2">
        <f>GovPrograms!O17*0.1/Summary!$B17</f>
        <v>184.03557964988468</v>
      </c>
      <c r="D17" s="2">
        <f>GovPrograms!L17*0.1/Summary!$B17</f>
        <v>31.7287062986156</v>
      </c>
      <c r="E17" s="2">
        <f>GovPrograms!U17*0.1/Summary!$B17-C17-D17</f>
        <v>106.68731448587755</v>
      </c>
      <c r="F17" s="2">
        <f>F$4*otherloans!G17/otherloans!G$7</f>
        <v>10.961199263041554</v>
      </c>
      <c r="G17" s="2">
        <f>otherloans!F17*0.4/Summary!$B17</f>
        <v>23.417491692641786</v>
      </c>
      <c r="I17">
        <v>33.06417</v>
      </c>
      <c r="K17" s="6">
        <f t="shared" si="1"/>
        <v>5566.0123828871165</v>
      </c>
      <c r="L17" s="6">
        <f t="shared" si="0"/>
        <v>959.6099432895367</v>
      </c>
      <c r="M17" s="6">
        <f t="shared" si="0"/>
        <v>3226.6745085655425</v>
      </c>
      <c r="N17" s="6">
        <f t="shared" si="0"/>
        <v>331.51291150032057</v>
      </c>
      <c r="O17" s="6">
        <f t="shared" si="0"/>
        <v>708.2437482217696</v>
      </c>
      <c r="Q17" s="21">
        <f t="shared" si="2"/>
        <v>0.7002207362648809</v>
      </c>
      <c r="V17">
        <v>33.15459</v>
      </c>
      <c r="X17">
        <v>0</v>
      </c>
      <c r="Y17">
        <f>LN($Q$17/$Q17)</f>
        <v>0</v>
      </c>
    </row>
    <row r="18" spans="1:25" ht="15">
      <c r="A18" s="5">
        <f>GovPrograms!A18</f>
        <v>39448</v>
      </c>
      <c r="B18">
        <f>VLOOKUP($A18,Fredconnect!$A$8:$J$39,B$6+1)</f>
        <v>107.852</v>
      </c>
      <c r="C18" s="2">
        <f>GovPrograms!O18*0.1/Summary!$B18</f>
        <v>182.05503747626912</v>
      </c>
      <c r="D18" s="2">
        <f>GovPrograms!L18*0.1/Summary!$B18</f>
        <v>32.93459258984535</v>
      </c>
      <c r="E18" s="2">
        <f>GovPrograms!U18*0.1/Summary!$B18-C18-D18</f>
        <v>107.35590251330424</v>
      </c>
      <c r="F18" s="2">
        <f>mortmetrics!E6*0.0000004/Summary!$B18</f>
        <v>25.767471088845067</v>
      </c>
      <c r="G18" s="2">
        <f>otherloans!F18*0.4/Summary!$B18</f>
        <v>26.18897702407002</v>
      </c>
      <c r="I18">
        <v>34.90154</v>
      </c>
      <c r="K18" s="6">
        <f t="shared" si="1"/>
        <v>5216.246546034047</v>
      </c>
      <c r="L18" s="6">
        <f t="shared" si="0"/>
        <v>943.6429621685849</v>
      </c>
      <c r="M18" s="6">
        <f t="shared" si="0"/>
        <v>3075.9646283030565</v>
      </c>
      <c r="N18" s="6">
        <f t="shared" si="0"/>
        <v>738.2903759789702</v>
      </c>
      <c r="O18" s="6">
        <f t="shared" si="0"/>
        <v>750.3673770289225</v>
      </c>
      <c r="Q18" s="21">
        <f t="shared" si="2"/>
        <v>0.7020968919579561</v>
      </c>
      <c r="V18">
        <v>34.1583</v>
      </c>
      <c r="X18">
        <v>-0.006747176043105569</v>
      </c>
      <c r="Y18">
        <f aca="true" t="shared" si="3" ref="Y18:Y29">LN($Q$17/$Q18)</f>
        <v>-0.002675794377444796</v>
      </c>
    </row>
    <row r="19" spans="1:25" ht="15">
      <c r="A19" s="5">
        <f>GovPrograms!A19</f>
        <v>39539</v>
      </c>
      <c r="B19">
        <f>VLOOKUP($A19,Fredconnect!$A$8:$J$39,B$6+1)</f>
        <v>109.052</v>
      </c>
      <c r="C19" s="2">
        <f>GovPrograms!O19*0.1/Summary!$B19</f>
        <v>183.89453650192752</v>
      </c>
      <c r="D19" s="2">
        <f>GovPrograms!L19*0.1/Summary!$B19</f>
        <v>33.51882184645857</v>
      </c>
      <c r="E19" s="2">
        <f>GovPrograms!U19*0.1/Summary!$B19-C19-D19</f>
        <v>108.78365119598968</v>
      </c>
      <c r="F19" s="2">
        <f>mortmetrics!E7*0.0000004/Summary!$B19</f>
        <v>31.757668105854563</v>
      </c>
      <c r="G19" s="2">
        <f>otherloans!F19*0.4/Summary!$B19</f>
        <v>29.498566738803508</v>
      </c>
      <c r="I19">
        <v>34.07909</v>
      </c>
      <c r="K19" s="6">
        <f t="shared" si="1"/>
        <v>5396.110532937572</v>
      </c>
      <c r="L19" s="6">
        <f t="shared" si="0"/>
        <v>983.5597677772081</v>
      </c>
      <c r="M19" s="6">
        <f t="shared" si="0"/>
        <v>3192.093779381717</v>
      </c>
      <c r="N19" s="6">
        <f t="shared" si="0"/>
        <v>931.8813414869517</v>
      </c>
      <c r="O19" s="6">
        <f t="shared" si="0"/>
        <v>865.5913857677393</v>
      </c>
      <c r="Q19" s="21">
        <f t="shared" si="2"/>
        <v>0.684187866462467</v>
      </c>
      <c r="V19">
        <v>34.16895</v>
      </c>
      <c r="X19">
        <v>0.008289894395126939</v>
      </c>
      <c r="Y19">
        <f t="shared" si="3"/>
        <v>0.023163084374588132</v>
      </c>
    </row>
    <row r="20" spans="1:25" ht="15">
      <c r="A20" s="5">
        <f>GovPrograms!A20</f>
        <v>39630</v>
      </c>
      <c r="B20">
        <f>VLOOKUP($A20,Fredconnect!$A$8:$J$39,B$6+1)</f>
        <v>110.218</v>
      </c>
      <c r="C20" s="2">
        <f>GovPrograms!O20*0.1/Summary!$B20</f>
        <v>183.2953518039636</v>
      </c>
      <c r="D20" s="2">
        <f>GovPrograms!L20*0.1/Summary!$B20</f>
        <v>50.84783610662505</v>
      </c>
      <c r="E20" s="2">
        <f>GovPrograms!U20*0.1/Summary!$B20-C20-D20</f>
        <v>111.53977718157854</v>
      </c>
      <c r="F20" s="2">
        <f>mortmetrics!E8*0.0000004/Summary!$B20</f>
        <v>33.36082550120007</v>
      </c>
      <c r="G20" s="2">
        <f>otherloans!F20*0.4/Summary!$B20</f>
        <v>32.035512166796714</v>
      </c>
      <c r="I20">
        <v>34.67343</v>
      </c>
      <c r="K20" s="6">
        <f t="shared" si="1"/>
        <v>5286.334573878718</v>
      </c>
      <c r="L20" s="6">
        <f t="shared" si="0"/>
        <v>1466.478398780422</v>
      </c>
      <c r="M20" s="6">
        <f t="shared" si="0"/>
        <v>3216.865974366497</v>
      </c>
      <c r="N20" s="6">
        <f t="shared" si="0"/>
        <v>962.1437942885968</v>
      </c>
      <c r="O20" s="6">
        <f t="shared" si="0"/>
        <v>923.9210590586715</v>
      </c>
      <c r="Q20" s="21">
        <f t="shared" si="2"/>
        <v>0.6706737833229748</v>
      </c>
      <c r="V20">
        <v>34.13424</v>
      </c>
      <c r="X20">
        <v>0.021442809851174582</v>
      </c>
      <c r="Y20">
        <f t="shared" si="3"/>
        <v>0.043112769044453346</v>
      </c>
    </row>
    <row r="21" spans="1:25" ht="15">
      <c r="A21" s="5">
        <f>GovPrograms!A21</f>
        <v>39722</v>
      </c>
      <c r="B21">
        <f>VLOOKUP($A21,Fredconnect!$A$8:$J$39,B$6+1)</f>
        <v>108.65</v>
      </c>
      <c r="C21" s="2">
        <f>GovPrograms!O21*0.1/Summary!$B21</f>
        <v>186.64962243141227</v>
      </c>
      <c r="D21" s="2">
        <f>GovPrograms!L21*0.1/Summary!$B21</f>
        <v>63.33565319834331</v>
      </c>
      <c r="E21" s="2">
        <f>GovPrograms!U21*0.1/Summary!$B21-C21-D21</f>
        <v>119.7936398855927</v>
      </c>
      <c r="F21" s="2">
        <f>mortmetrics!E9*0.0000004/Summary!$B21</f>
        <v>37.953291524198455</v>
      </c>
      <c r="G21" s="2">
        <f>otherloans!F21*0.4/Summary!$B21</f>
        <v>37.802206994937876</v>
      </c>
      <c r="I21">
        <v>36.33171</v>
      </c>
      <c r="K21" s="6">
        <f t="shared" si="1"/>
        <v>5137.375103770571</v>
      </c>
      <c r="L21" s="6">
        <f t="shared" si="0"/>
        <v>1743.26100253314</v>
      </c>
      <c r="M21" s="6">
        <f t="shared" si="0"/>
        <v>3297.2199735600857</v>
      </c>
      <c r="N21" s="6">
        <f t="shared" si="0"/>
        <v>1044.6326782911801</v>
      </c>
      <c r="O21" s="6">
        <f t="shared" si="0"/>
        <v>1040.474202698906</v>
      </c>
      <c r="Q21" s="21">
        <f t="shared" si="2"/>
        <v>0.659362139976281</v>
      </c>
      <c r="V21">
        <v>34.8676</v>
      </c>
      <c r="X21">
        <v>0.041408150488991775</v>
      </c>
      <c r="Y21">
        <f t="shared" si="3"/>
        <v>0.060122709735505556</v>
      </c>
    </row>
    <row r="22" spans="1:25" ht="15">
      <c r="A22" s="5">
        <f>GovPrograms!A22</f>
        <v>39814</v>
      </c>
      <c r="B22">
        <f>VLOOKUP($A22,Fredconnect!$A$8:$J$39,B$6+1)</f>
        <v>108.194</v>
      </c>
      <c r="C22" s="2">
        <f>GovPrograms!O22*0.1/Summary!$B22</f>
        <v>198.28720272768024</v>
      </c>
      <c r="D22" s="2">
        <f>GovPrograms!L22*0.1/Summary!$B22</f>
        <v>90.3043865648742</v>
      </c>
      <c r="E22" s="2">
        <f>GovPrograms!U22*0.1/Summary!$B22-C22-D22</f>
        <v>123.1614234515648</v>
      </c>
      <c r="F22" s="2">
        <f>mortmetrics!E10*0.0000004/Summary!$B22</f>
        <v>45.427721923024315</v>
      </c>
      <c r="G22" s="2">
        <f>otherloans!F22*0.4/Summary!$B22</f>
        <v>43.9036257093739</v>
      </c>
      <c r="I22">
        <v>40.00067</v>
      </c>
      <c r="K22" s="6">
        <f t="shared" si="1"/>
        <v>4957.097036816639</v>
      </c>
      <c r="L22" s="6">
        <f t="shared" si="0"/>
        <v>2257.5718497933713</v>
      </c>
      <c r="M22" s="6">
        <f t="shared" si="0"/>
        <v>3078.984013306897</v>
      </c>
      <c r="N22" s="6">
        <f t="shared" si="0"/>
        <v>1135.6740255356801</v>
      </c>
      <c r="O22" s="6">
        <f t="shared" si="0"/>
        <v>1097.5722583990193</v>
      </c>
      <c r="Q22" s="21">
        <f t="shared" si="2"/>
        <v>0.6520305782263442</v>
      </c>
      <c r="V22">
        <v>37.81118</v>
      </c>
      <c r="X22">
        <v>0.07521053411396711</v>
      </c>
      <c r="Y22">
        <f t="shared" si="3"/>
        <v>0.07130416290915324</v>
      </c>
    </row>
    <row r="23" spans="1:25" ht="15">
      <c r="A23" s="5">
        <f>GovPrograms!A23</f>
        <v>39904</v>
      </c>
      <c r="B23">
        <f>VLOOKUP($A23,Fredconnect!$A$8:$J$39,B$6+1)</f>
        <v>108.703</v>
      </c>
      <c r="C23" s="2">
        <f>GovPrograms!O23*0.1/Summary!$B23</f>
        <v>203.49252461909072</v>
      </c>
      <c r="D23" s="2">
        <f>GovPrograms!L23*0.1/Summary!$B23</f>
        <v>113.7515417237795</v>
      </c>
      <c r="E23" s="2">
        <f>GovPrograms!U23*0.1/Summary!$B23-C23-D23</f>
        <v>133.04218568535651</v>
      </c>
      <c r="F23" s="2">
        <f>mortmetrics!E11*0.0000004/Summary!$B23</f>
        <v>51.31140885349663</v>
      </c>
      <c r="G23" s="2">
        <f>otherloans!F23*0.4/Summary!$B23</f>
        <v>50.838541714580096</v>
      </c>
      <c r="I23">
        <v>40.73328</v>
      </c>
      <c r="K23" s="6">
        <f t="shared" si="1"/>
        <v>4995.731368038389</v>
      </c>
      <c r="L23" s="6">
        <f t="shared" si="0"/>
        <v>2792.5946971071194</v>
      </c>
      <c r="M23" s="6">
        <f t="shared" si="0"/>
        <v>3266.17904782911</v>
      </c>
      <c r="N23" s="6">
        <f t="shared" si="0"/>
        <v>1259.6925377356458</v>
      </c>
      <c r="O23" s="6">
        <f t="shared" si="0"/>
        <v>1248.0836729715872</v>
      </c>
      <c r="Q23" s="21">
        <f t="shared" si="2"/>
        <v>0.6232699632310598</v>
      </c>
      <c r="V23">
        <v>37.85417</v>
      </c>
      <c r="X23">
        <v>0.12095542858974025</v>
      </c>
      <c r="Y23">
        <f t="shared" si="3"/>
        <v>0.11641587010945355</v>
      </c>
    </row>
    <row r="24" spans="1:25" ht="15">
      <c r="A24" s="5">
        <f>GovPrograms!A24</f>
        <v>39995</v>
      </c>
      <c r="B24">
        <f>VLOOKUP($A24,Fredconnect!$A$8:$J$39,B$6+1)</f>
        <v>109.513</v>
      </c>
      <c r="C24" s="2">
        <f>GovPrograms!O24*0.1/Summary!$B24</f>
        <v>207.29450168497135</v>
      </c>
      <c r="D24" s="2">
        <f>GovPrograms!L24*0.1/Summary!$B24</f>
        <v>127.77729475039493</v>
      </c>
      <c r="E24" s="2">
        <f>GovPrograms!U24*0.1/Summary!$B24-C24-D24</f>
        <v>135.88815092014286</v>
      </c>
      <c r="F24" s="2">
        <f>mortmetrics!E12*0.0000004/Summary!$B24</f>
        <v>83.62903825202541</v>
      </c>
      <c r="G24" s="2">
        <f>otherloans!F24*0.4/Summary!$B24</f>
        <v>50.471598075114365</v>
      </c>
      <c r="I24">
        <v>43.09865</v>
      </c>
      <c r="K24" s="6">
        <f t="shared" si="1"/>
        <v>4809.767862449784</v>
      </c>
      <c r="L24" s="6">
        <f t="shared" si="0"/>
        <v>2964.7632756570083</v>
      </c>
      <c r="M24" s="6">
        <f t="shared" si="0"/>
        <v>3152.9560884190773</v>
      </c>
      <c r="N24" s="6">
        <f t="shared" si="0"/>
        <v>1940.4096938541093</v>
      </c>
      <c r="O24" s="6">
        <f t="shared" si="0"/>
        <v>1171.0714390152446</v>
      </c>
      <c r="Q24" s="21">
        <f t="shared" si="2"/>
        <v>0.6100286566834661</v>
      </c>
      <c r="V24">
        <v>38.31297</v>
      </c>
      <c r="X24">
        <v>0.1388863485649136</v>
      </c>
      <c r="Y24">
        <f t="shared" si="3"/>
        <v>0.1378896886227028</v>
      </c>
    </row>
    <row r="25" spans="1:25" ht="15">
      <c r="A25" s="5">
        <f>GovPrograms!A25</f>
        <v>40087</v>
      </c>
      <c r="B25">
        <f>VLOOKUP($A25,Fredconnect!$A$8:$J$39,B$6+1)</f>
        <v>110.265</v>
      </c>
      <c r="C25" s="2">
        <f>GovPrograms!O25*0.1/Summary!$B25</f>
        <v>203.15288705126758</v>
      </c>
      <c r="D25" s="2">
        <f>GovPrograms!L25*0.1/Summary!$B25</f>
        <v>130.3316751462386</v>
      </c>
      <c r="E25" s="2">
        <f>GovPrograms!U25*0.1/Summary!$B25-C25-D25</f>
        <v>138.57229496069098</v>
      </c>
      <c r="F25" s="2">
        <f>mortmetrics!E13*0.0000004/Summary!$B25</f>
        <v>74.87601095994864</v>
      </c>
      <c r="G25" s="2">
        <f>otherloans!F25*0.4/Summary!$B25</f>
        <v>48.81836484831996</v>
      </c>
      <c r="I25">
        <v>41.94657</v>
      </c>
      <c r="K25" s="6">
        <f t="shared" si="1"/>
        <v>4843.134660385046</v>
      </c>
      <c r="L25" s="6">
        <f t="shared" si="0"/>
        <v>3107.0877820579517</v>
      </c>
      <c r="M25" s="6">
        <f t="shared" si="0"/>
        <v>3303.542934754641</v>
      </c>
      <c r="N25" s="6">
        <f t="shared" si="0"/>
        <v>1785.0329826717332</v>
      </c>
      <c r="O25" s="6">
        <f t="shared" si="0"/>
        <v>1163.8225687659315</v>
      </c>
      <c r="Q25" s="21">
        <f t="shared" si="2"/>
        <v>0.6054827519823527</v>
      </c>
      <c r="V25">
        <v>39.01638</v>
      </c>
      <c r="X25">
        <v>0.1552868355559126</v>
      </c>
      <c r="Y25">
        <f t="shared" si="3"/>
        <v>0.14536954584708944</v>
      </c>
    </row>
    <row r="26" spans="1:25" ht="15">
      <c r="A26" s="5">
        <f>GovPrograms!A26</f>
        <v>40179</v>
      </c>
      <c r="B26">
        <f>VLOOKUP($A26,Fredconnect!$A$8:$J$39,B$6+1)</f>
        <v>110.774</v>
      </c>
      <c r="C26" s="2">
        <f>GovPrograms!O26*0.1/Summary!$B26</f>
        <v>206.82415801981045</v>
      </c>
      <c r="D26" s="2">
        <f>GovPrograms!L26*0.1/Summary!$B26</f>
        <v>133.29296549731887</v>
      </c>
      <c r="E26" s="2">
        <f>GovPrograms!U26*0.1/Summary!$B26-C26-D26</f>
        <v>139.29962862946743</v>
      </c>
      <c r="F26" s="2">
        <f>mortmetrics!E14*0.0000004/Summary!$B26</f>
        <v>77.43728340839043</v>
      </c>
      <c r="G26" s="2">
        <f>otherloans!F26*0.4/Summary!$B26</f>
        <v>77.70682416451515</v>
      </c>
      <c r="I26">
        <v>42.63608</v>
      </c>
      <c r="K26" s="6">
        <f t="shared" si="1"/>
        <v>4850.918705936626</v>
      </c>
      <c r="L26" s="6">
        <f aca="true" t="shared" si="4" ref="L26:O29">D26*1000/$I26</f>
        <v>3126.2950416013596</v>
      </c>
      <c r="M26" s="6">
        <f t="shared" si="4"/>
        <v>3267.1772036610173</v>
      </c>
      <c r="N26" s="6">
        <f t="shared" si="4"/>
        <v>1816.238345748259</v>
      </c>
      <c r="O26" s="6">
        <f t="shared" si="4"/>
        <v>1822.5602392273202</v>
      </c>
      <c r="Q26" s="21">
        <f t="shared" si="2"/>
        <v>0.5865780684395949</v>
      </c>
      <c r="V26">
        <v>39.35898</v>
      </c>
      <c r="X26">
        <v>0.15629574253809653</v>
      </c>
      <c r="Y26">
        <f t="shared" si="3"/>
        <v>0.1770898546020087</v>
      </c>
    </row>
    <row r="27" spans="1:25" ht="15">
      <c r="A27" s="5">
        <f>GovPrograms!A27</f>
        <v>40269</v>
      </c>
      <c r="B27">
        <f>VLOOKUP($A27,Fredconnect!$A$8:$J$39,B$6+1)</f>
        <v>110.864</v>
      </c>
      <c r="C27" s="2">
        <f>GovPrograms!O27*0.1/Summary!$B27</f>
        <v>208.34101288587897</v>
      </c>
      <c r="D27" s="2">
        <f>GovPrograms!L27*0.1/Summary!$B27</f>
        <v>119.78920767787561</v>
      </c>
      <c r="E27" s="2">
        <f>GovPrograms!U27*0.1/Summary!$B27-C27-D27</f>
        <v>141.21444782567568</v>
      </c>
      <c r="F27" s="2">
        <f>mortmetrics!E15*0.0000004/Summary!$B27</f>
        <v>72.6169411156123</v>
      </c>
      <c r="G27" s="2">
        <f>otherloans!F27*0.4/Summary!$B27</f>
        <v>77.17335014071296</v>
      </c>
      <c r="I27">
        <v>40.21174</v>
      </c>
      <c r="K27" s="6">
        <f t="shared" si="1"/>
        <v>5181.099173671146</v>
      </c>
      <c r="L27" s="6">
        <f t="shared" si="4"/>
        <v>2978.961061567483</v>
      </c>
      <c r="M27" s="6">
        <f t="shared" si="4"/>
        <v>3511.7716325052256</v>
      </c>
      <c r="N27" s="6">
        <f t="shared" si="4"/>
        <v>1805.8641858226556</v>
      </c>
      <c r="O27" s="6">
        <f t="shared" si="4"/>
        <v>1919.1746027581237</v>
      </c>
      <c r="Q27" s="21">
        <f t="shared" si="2"/>
        <v>0.5723091484354269</v>
      </c>
      <c r="V27">
        <v>38.11782</v>
      </c>
      <c r="X27">
        <v>0.1462273705795235</v>
      </c>
      <c r="Y27">
        <f t="shared" si="3"/>
        <v>0.20171630818465888</v>
      </c>
    </row>
    <row r="28" spans="1:25" ht="15">
      <c r="A28" s="5">
        <f>GovPrograms!A28</f>
        <v>40360</v>
      </c>
      <c r="B28">
        <f>VLOOKUP($A28,Fredconnect!$A$8:$J$39,B$6+1)</f>
        <v>111.136</v>
      </c>
      <c r="C28" s="2">
        <f>GovPrograms!O28*0.1/Summary!$B28</f>
        <v>216.0593825885692</v>
      </c>
      <c r="D28" s="2">
        <f>GovPrograms!L28*0.1/Summary!$B28</f>
        <v>118.14618485459256</v>
      </c>
      <c r="E28" s="2">
        <f>GovPrograms!U28*0.1/Summary!$B28-C28-D28</f>
        <v>144.18760857458176</v>
      </c>
      <c r="F28" s="2">
        <f>mortmetrics!E16*0.0000004/Summary!$B28</f>
        <v>61.06936322281184</v>
      </c>
      <c r="G28" s="2">
        <f>otherloans!F28*0.4/Summary!$B28</f>
        <v>59.755936870141106</v>
      </c>
      <c r="I28">
        <v>40.57205</v>
      </c>
      <c r="K28" s="6">
        <f t="shared" si="1"/>
        <v>5325.325749834412</v>
      </c>
      <c r="L28" s="6">
        <f t="shared" si="4"/>
        <v>2912.009249091248</v>
      </c>
      <c r="M28" s="6">
        <f t="shared" si="4"/>
        <v>3553.865495447772</v>
      </c>
      <c r="N28" s="6">
        <f t="shared" si="4"/>
        <v>1505.207728542478</v>
      </c>
      <c r="O28" s="6">
        <f t="shared" si="4"/>
        <v>1472.8350396428357</v>
      </c>
      <c r="Q28" s="21">
        <f t="shared" si="2"/>
        <v>0.5897432427067015</v>
      </c>
      <c r="V28">
        <v>38.48129</v>
      </c>
      <c r="X28">
        <v>0.14864304818338453</v>
      </c>
      <c r="Y28">
        <f t="shared" si="3"/>
        <v>0.17170836252862334</v>
      </c>
    </row>
    <row r="29" spans="1:25" ht="15">
      <c r="A29" s="5">
        <f>GovPrograms!A29</f>
        <v>40452</v>
      </c>
      <c r="B29">
        <f>VLOOKUP($A29,Fredconnect!$A$8:$J$39,B$6+1)</f>
        <v>111.673</v>
      </c>
      <c r="C29" s="2">
        <f>GovPrograms!O29*0.1/Summary!$B29</f>
        <v>233.39301075111882</v>
      </c>
      <c r="D29" s="2">
        <f>GovPrograms!L29*0.1/Summary!$B29</f>
        <v>111.39447637298184</v>
      </c>
      <c r="E29" s="2">
        <f>GovPrograms!U29*0.1/Summary!$B29-C29-D29</f>
        <v>144.9957469441116</v>
      </c>
      <c r="F29" s="2">
        <f>mortmetrics!E17*0.0000004/Summary!$B29</f>
        <v>60.75490603254231</v>
      </c>
      <c r="G29" s="2">
        <f>otherloans!F29*0.4/Summary!$B29</f>
        <v>53.06191559284697</v>
      </c>
      <c r="I29">
        <v>41.77171</v>
      </c>
      <c r="K29" s="6">
        <f t="shared" si="1"/>
        <v>5587.346334423916</v>
      </c>
      <c r="L29" s="6">
        <f t="shared" si="4"/>
        <v>2666.744463489329</v>
      </c>
      <c r="M29" s="6">
        <f t="shared" si="4"/>
        <v>3471.1470261598483</v>
      </c>
      <c r="N29" s="6">
        <f t="shared" si="4"/>
        <v>1454.4510155926657</v>
      </c>
      <c r="O29" s="6">
        <f t="shared" si="4"/>
        <v>1270.2835386161346</v>
      </c>
      <c r="Q29" s="21">
        <f t="shared" si="2"/>
        <v>0.5986118783810586</v>
      </c>
      <c r="V29">
        <v>39.03284</v>
      </c>
      <c r="X29">
        <v>0.14750064725311293</v>
      </c>
      <c r="Y29">
        <f t="shared" si="3"/>
        <v>0.15678218403101407</v>
      </c>
    </row>
    <row r="30" spans="1:24" ht="15">
      <c r="A30" s="5">
        <f>GovPrograms!A30</f>
        <v>40544</v>
      </c>
      <c r="B30">
        <f>VLOOKUP($A30,Fredconnect!$A$8:$J$39,B$6+1)</f>
        <v>112.747</v>
      </c>
      <c r="C30" s="2">
        <f>GovPrograms!O30*0.1/Summary!$B30</f>
        <v>227.08288034927037</v>
      </c>
      <c r="D30" s="2">
        <f>GovPrograms!L30*0.1/Summary!$B30</f>
        <v>100.70739691521727</v>
      </c>
      <c r="E30" s="2">
        <f>GovPrograms!U30*0.1/Summary!$B30-C30-D30</f>
        <v>143.72096096958649</v>
      </c>
      <c r="F30" s="2">
        <f>mortmetrics!E18*0.0000004/Summary!$B30</f>
        <v>69.71265934418436</v>
      </c>
      <c r="G30" s="2">
        <f>otherloans!F30*0.4/Summary!$B30</f>
        <v>46.67644726688959</v>
      </c>
      <c r="X30">
        <v>0.14026150121081615</v>
      </c>
    </row>
    <row r="31" spans="1:24" ht="15">
      <c r="A31" s="5">
        <f>GovPrograms!A31</f>
        <v>40634</v>
      </c>
      <c r="B31">
        <f>VLOOKUP($A31,Fredconnect!$A$8:$J$39,B$6+1)</f>
        <v>113.666</v>
      </c>
      <c r="C31" s="2">
        <f>GovPrograms!O31*0.1/Summary!$B31</f>
        <v>228.14130542106128</v>
      </c>
      <c r="D31" s="2">
        <f>GovPrograms!L31*0.1/Summary!$B31</f>
        <v>91.20902433445359</v>
      </c>
      <c r="E31" s="2">
        <f>GovPrograms!U31*0.1/Summary!$B31-C31-D31</f>
        <v>143.73561023538605</v>
      </c>
      <c r="F31" s="2"/>
      <c r="G31" s="2"/>
      <c r="X31">
        <v>0.12958720826527168</v>
      </c>
    </row>
    <row r="32" ht="15">
      <c r="A32" s="5"/>
    </row>
    <row r="33" ht="15">
      <c r="A33" s="5"/>
    </row>
    <row r="38" spans="1:16" ht="15">
      <c r="A38" t="s">
        <v>135</v>
      </c>
      <c r="H38" s="2">
        <f>SUM(C14:G17)/4</f>
        <v>344.05358905690935</v>
      </c>
      <c r="I38" s="2">
        <f>AVERAGE(I14:I17)</f>
        <v>33.536404999999995</v>
      </c>
      <c r="P38" s="6">
        <f>SUM(K14:O17)/4</f>
        <v>10261.35396204697</v>
      </c>
    </row>
    <row r="39" spans="1:16" ht="15">
      <c r="A39" s="41" t="s">
        <v>134</v>
      </c>
      <c r="H39" s="42">
        <f>SUM(C26:G29)/4</f>
        <v>614.128587792389</v>
      </c>
      <c r="I39" s="42">
        <f>AVERAGE(I26:I29)</f>
        <v>41.297895</v>
      </c>
      <c r="P39" s="43">
        <f>SUM(K26:O29)/4</f>
        <v>14874.818958334965</v>
      </c>
    </row>
    <row r="40" spans="1:16" ht="15">
      <c r="A40" t="s">
        <v>136</v>
      </c>
      <c r="H40" s="2">
        <f>H39-H38</f>
        <v>270.07499873547965</v>
      </c>
      <c r="I40" s="2">
        <f>I39-I38</f>
        <v>7.761490000000002</v>
      </c>
      <c r="J40" s="6">
        <f>H40*1000/I40</f>
        <v>34796.79787456785</v>
      </c>
      <c r="P40" s="6">
        <f>P39-P38</f>
        <v>4613.464996287996</v>
      </c>
    </row>
    <row r="41" ht="15">
      <c r="H41" s="2">
        <f>H38*I40/I38</f>
        <v>79.62596142697204</v>
      </c>
    </row>
  </sheetData>
  <sheetProtection/>
  <mergeCells count="3">
    <mergeCell ref="C5:G5"/>
    <mergeCell ref="K5:O5"/>
    <mergeCell ref="X7:Y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31"/>
  <sheetViews>
    <sheetView zoomScalePageLayoutView="0" workbookViewId="0" topLeftCell="A1">
      <selection activeCell="K1" sqref="K1"/>
    </sheetView>
  </sheetViews>
  <sheetFormatPr defaultColWidth="12.00390625" defaultRowHeight="15"/>
  <cols>
    <col min="1" max="1" width="12.00390625" style="1" customWidth="1"/>
    <col min="2" max="2" width="12.00390625" style="2" customWidth="1"/>
    <col min="3" max="3" width="12.00390625" style="1" customWidth="1"/>
    <col min="4" max="4" width="12.00390625" style="2" customWidth="1"/>
    <col min="5" max="5" width="12.00390625" style="1" customWidth="1"/>
    <col min="6" max="6" width="12.00390625" style="2" customWidth="1"/>
    <col min="7" max="7" width="12.00390625" style="1" customWidth="1"/>
    <col min="8" max="8" width="12.00390625" style="2" customWidth="1"/>
    <col min="9" max="9" width="12.00390625" style="1" customWidth="1"/>
    <col min="10" max="10" width="12.00390625" style="2" customWidth="1"/>
  </cols>
  <sheetData>
    <row r="1" spans="1:9" ht="15">
      <c r="A1" s="1" t="s">
        <v>5</v>
      </c>
      <c r="C1" s="1" t="s">
        <v>6</v>
      </c>
      <c r="E1" s="1" t="s">
        <v>15</v>
      </c>
      <c r="G1" s="1" t="s">
        <v>14</v>
      </c>
      <c r="I1" s="1" t="s">
        <v>87</v>
      </c>
    </row>
    <row r="2" spans="1:10" ht="15">
      <c r="A2" s="1" t="s">
        <v>0</v>
      </c>
      <c r="B2" s="2" t="s">
        <v>8</v>
      </c>
      <c r="C2" s="1" t="s">
        <v>0</v>
      </c>
      <c r="D2" s="2" t="s">
        <v>8</v>
      </c>
      <c r="E2" s="1" t="s">
        <v>0</v>
      </c>
      <c r="F2" s="2" t="s">
        <v>13</v>
      </c>
      <c r="G2" s="1" t="s">
        <v>0</v>
      </c>
      <c r="H2" s="2" t="s">
        <v>13</v>
      </c>
      <c r="I2" s="1" t="s">
        <v>0</v>
      </c>
      <c r="J2" s="2" t="s">
        <v>90</v>
      </c>
    </row>
    <row r="3" spans="1:10" ht="15">
      <c r="A3" s="1" t="s">
        <v>2</v>
      </c>
      <c r="B3" s="2" t="s">
        <v>7</v>
      </c>
      <c r="C3" s="1" t="s">
        <v>2</v>
      </c>
      <c r="D3" s="2" t="s">
        <v>7</v>
      </c>
      <c r="E3" s="1" t="s">
        <v>2</v>
      </c>
      <c r="F3" s="2" t="s">
        <v>7</v>
      </c>
      <c r="G3" s="1" t="s">
        <v>2</v>
      </c>
      <c r="H3" s="2" t="s">
        <v>7</v>
      </c>
      <c r="I3" s="1" t="s">
        <v>2</v>
      </c>
      <c r="J3" s="2" t="s">
        <v>7</v>
      </c>
    </row>
    <row r="4" spans="1:10" ht="15">
      <c r="A4" s="1">
        <v>38626</v>
      </c>
      <c r="B4" s="2" t="s">
        <v>11</v>
      </c>
      <c r="C4" s="1">
        <v>38626</v>
      </c>
      <c r="D4" s="2" t="s">
        <v>9</v>
      </c>
      <c r="E4" s="1">
        <v>38626</v>
      </c>
      <c r="F4" s="2" t="s">
        <v>9</v>
      </c>
      <c r="G4" s="1">
        <v>38626</v>
      </c>
      <c r="H4" s="2" t="s">
        <v>9</v>
      </c>
      <c r="I4" s="1">
        <v>38626</v>
      </c>
      <c r="J4" s="2" t="s">
        <v>91</v>
      </c>
    </row>
    <row r="5" spans="1:9" ht="15">
      <c r="A5" s="3" t="s">
        <v>10</v>
      </c>
      <c r="C5" s="3" t="s">
        <v>12</v>
      </c>
      <c r="E5" s="3" t="s">
        <v>18</v>
      </c>
      <c r="G5" s="3" t="s">
        <v>19</v>
      </c>
      <c r="I5" s="3" t="s">
        <v>88</v>
      </c>
    </row>
    <row r="6" spans="1:9" ht="15">
      <c r="A6" s="1" t="s">
        <v>1</v>
      </c>
      <c r="C6" s="1" t="s">
        <v>1</v>
      </c>
      <c r="E6" s="1" t="s">
        <v>1</v>
      </c>
      <c r="G6" s="1" t="s">
        <v>1</v>
      </c>
      <c r="I6" s="1" t="s">
        <v>89</v>
      </c>
    </row>
    <row r="7" spans="1:10" ht="15">
      <c r="A7" s="1" t="s">
        <v>3</v>
      </c>
      <c r="B7" s="2" t="s">
        <v>4</v>
      </c>
      <c r="C7" s="1" t="s">
        <v>3</v>
      </c>
      <c r="D7" s="2" t="s">
        <v>4</v>
      </c>
      <c r="E7" s="1" t="s">
        <v>3</v>
      </c>
      <c r="F7" s="2" t="s">
        <v>4</v>
      </c>
      <c r="G7" s="1" t="s">
        <v>3</v>
      </c>
      <c r="H7" s="2" t="s">
        <v>4</v>
      </c>
      <c r="I7" s="1" t="s">
        <v>3</v>
      </c>
      <c r="J7" s="2" t="s">
        <v>4</v>
      </c>
    </row>
    <row r="8" spans="1:10" ht="15">
      <c r="A8" s="1">
        <v>38626</v>
      </c>
      <c r="B8" s="2">
        <v>0.06</v>
      </c>
      <c r="C8" s="1">
        <v>38626</v>
      </c>
      <c r="D8" s="2">
        <v>3.03</v>
      </c>
      <c r="E8" s="1">
        <v>38626</v>
      </c>
      <c r="F8" s="2">
        <v>792908</v>
      </c>
      <c r="G8" s="1">
        <v>38626</v>
      </c>
      <c r="H8" s="2">
        <v>1616529</v>
      </c>
      <c r="I8" s="1">
        <v>38626</v>
      </c>
      <c r="J8" s="2">
        <v>101.371</v>
      </c>
    </row>
    <row r="9" spans="1:10" ht="15">
      <c r="A9" s="1">
        <v>38718</v>
      </c>
      <c r="B9" s="2">
        <v>0.09</v>
      </c>
      <c r="C9" s="1">
        <v>38718</v>
      </c>
      <c r="D9" s="2">
        <v>1.76</v>
      </c>
      <c r="E9" s="1">
        <v>38718</v>
      </c>
      <c r="F9" s="2">
        <v>799456</v>
      </c>
      <c r="G9" s="1">
        <v>38718</v>
      </c>
      <c r="H9" s="2">
        <v>1632684</v>
      </c>
      <c r="I9" s="1">
        <v>38718</v>
      </c>
      <c r="J9" s="2">
        <v>101.794</v>
      </c>
    </row>
    <row r="10" spans="1:10" ht="15">
      <c r="A10" s="1">
        <v>38808</v>
      </c>
      <c r="B10" s="2">
        <v>0.1</v>
      </c>
      <c r="C10" s="1">
        <v>38808</v>
      </c>
      <c r="D10" s="2">
        <v>1.95</v>
      </c>
      <c r="E10" s="1">
        <v>38808</v>
      </c>
      <c r="F10" s="2">
        <v>806247</v>
      </c>
      <c r="G10" s="1">
        <v>38808</v>
      </c>
      <c r="H10" s="2">
        <v>1676345</v>
      </c>
      <c r="I10" s="1">
        <v>38808</v>
      </c>
      <c r="J10" s="2">
        <v>102.548</v>
      </c>
    </row>
    <row r="11" spans="1:10" ht="15">
      <c r="A11" s="1">
        <v>38899</v>
      </c>
      <c r="B11" s="2">
        <v>0.12</v>
      </c>
      <c r="C11" s="1">
        <v>38899</v>
      </c>
      <c r="D11" s="2">
        <v>2.25</v>
      </c>
      <c r="E11" s="1">
        <v>38899</v>
      </c>
      <c r="F11" s="2">
        <v>809729</v>
      </c>
      <c r="G11" s="1">
        <v>38899</v>
      </c>
      <c r="H11" s="2">
        <v>1704222</v>
      </c>
      <c r="I11" s="1">
        <v>38899</v>
      </c>
      <c r="J11" s="2">
        <v>103.286</v>
      </c>
    </row>
    <row r="12" spans="1:10" ht="15">
      <c r="A12" s="1">
        <v>38991</v>
      </c>
      <c r="B12" s="2">
        <v>0.12</v>
      </c>
      <c r="C12" s="1">
        <v>38991</v>
      </c>
      <c r="D12" s="2">
        <v>2.25</v>
      </c>
      <c r="E12" s="1">
        <v>38991</v>
      </c>
      <c r="F12" s="2">
        <v>824247</v>
      </c>
      <c r="G12" s="1">
        <v>38991</v>
      </c>
      <c r="H12" s="2">
        <v>1871495</v>
      </c>
      <c r="I12" s="1">
        <v>38991</v>
      </c>
      <c r="J12" s="2">
        <v>103.264</v>
      </c>
    </row>
    <row r="13" spans="1:10" ht="15">
      <c r="A13" s="1">
        <v>39083</v>
      </c>
      <c r="B13" s="2">
        <v>0.15</v>
      </c>
      <c r="C13" s="1">
        <v>39083</v>
      </c>
      <c r="D13" s="2">
        <v>2.34</v>
      </c>
      <c r="E13" s="1">
        <v>39083</v>
      </c>
      <c r="F13" s="2">
        <v>847791</v>
      </c>
      <c r="G13" s="1">
        <v>39083</v>
      </c>
      <c r="H13" s="2">
        <v>1830181</v>
      </c>
      <c r="I13" s="1">
        <v>39083</v>
      </c>
      <c r="J13" s="2">
        <v>104.267</v>
      </c>
    </row>
    <row r="14" spans="1:10" ht="15">
      <c r="A14" s="1">
        <v>39173</v>
      </c>
      <c r="B14" s="2">
        <v>0.19</v>
      </c>
      <c r="C14" s="1">
        <v>39173</v>
      </c>
      <c r="D14" s="2">
        <v>2.37</v>
      </c>
      <c r="E14" s="1">
        <v>39173</v>
      </c>
      <c r="F14" s="2">
        <v>853692</v>
      </c>
      <c r="G14" s="1">
        <v>39173</v>
      </c>
      <c r="H14" s="2">
        <v>1868633</v>
      </c>
      <c r="I14" s="1">
        <v>39173</v>
      </c>
      <c r="J14" s="2">
        <v>105.158</v>
      </c>
    </row>
    <row r="15" spans="1:10" ht="15">
      <c r="A15" s="1">
        <v>39264</v>
      </c>
      <c r="B15" s="2">
        <v>0.27</v>
      </c>
      <c r="C15" s="1">
        <v>39264</v>
      </c>
      <c r="D15" s="2">
        <v>2.57</v>
      </c>
      <c r="E15" s="1">
        <v>39264</v>
      </c>
      <c r="F15" s="2">
        <v>892459</v>
      </c>
      <c r="G15" s="1">
        <v>39264</v>
      </c>
      <c r="H15" s="2">
        <v>1898887</v>
      </c>
      <c r="I15" s="1">
        <v>39264</v>
      </c>
      <c r="J15" s="2">
        <v>105.739</v>
      </c>
    </row>
    <row r="16" spans="1:10" ht="15">
      <c r="A16" s="1">
        <v>39356</v>
      </c>
      <c r="B16" s="2">
        <v>0.44</v>
      </c>
      <c r="C16" s="1">
        <v>39356</v>
      </c>
      <c r="D16" s="2">
        <v>2.71</v>
      </c>
      <c r="E16" s="1">
        <v>39356</v>
      </c>
      <c r="F16" s="2">
        <v>923159</v>
      </c>
      <c r="G16" s="1">
        <v>39356</v>
      </c>
      <c r="H16" s="2">
        <v>1971362</v>
      </c>
      <c r="I16" s="1">
        <v>39356</v>
      </c>
      <c r="J16" s="2">
        <v>106.833</v>
      </c>
    </row>
    <row r="17" spans="1:10" ht="15">
      <c r="A17" s="1">
        <v>39448</v>
      </c>
      <c r="B17" s="2">
        <v>0.84</v>
      </c>
      <c r="C17" s="1">
        <v>39448</v>
      </c>
      <c r="D17" s="2">
        <v>2.95</v>
      </c>
      <c r="E17" s="1">
        <v>39448</v>
      </c>
      <c r="F17" s="2">
        <v>957469</v>
      </c>
      <c r="G17" s="1">
        <v>39448</v>
      </c>
      <c r="H17" s="2">
        <v>1982207</v>
      </c>
      <c r="I17" s="1">
        <v>39448</v>
      </c>
      <c r="J17" s="2">
        <v>107.852</v>
      </c>
    </row>
    <row r="18" spans="1:10" ht="15">
      <c r="A18" s="1">
        <v>39539</v>
      </c>
      <c r="B18" s="2">
        <v>1.18</v>
      </c>
      <c r="C18" s="1">
        <v>39539</v>
      </c>
      <c r="D18" s="2">
        <v>3.35</v>
      </c>
      <c r="E18" s="1">
        <v>39539</v>
      </c>
      <c r="F18" s="2">
        <v>960262</v>
      </c>
      <c r="G18" s="1">
        <v>39539</v>
      </c>
      <c r="H18" s="2">
        <v>1973313</v>
      </c>
      <c r="I18" s="1">
        <v>39539</v>
      </c>
      <c r="J18" s="2">
        <v>109.052</v>
      </c>
    </row>
    <row r="19" spans="1:10" ht="15">
      <c r="A19" s="1">
        <v>39630</v>
      </c>
      <c r="B19" s="2">
        <v>1.5</v>
      </c>
      <c r="C19" s="1">
        <v>39630</v>
      </c>
      <c r="D19" s="2">
        <v>3.62</v>
      </c>
      <c r="E19" s="1">
        <v>39630</v>
      </c>
      <c r="F19" s="2">
        <v>975384</v>
      </c>
      <c r="G19" s="1">
        <v>39630</v>
      </c>
      <c r="H19" s="2">
        <v>1946761</v>
      </c>
      <c r="I19" s="1">
        <v>39630</v>
      </c>
      <c r="J19" s="2">
        <v>110.218</v>
      </c>
    </row>
    <row r="20" spans="1:10" ht="15">
      <c r="A20" s="1">
        <v>39722</v>
      </c>
      <c r="B20" s="2">
        <v>1.59</v>
      </c>
      <c r="C20" s="1">
        <v>39722</v>
      </c>
      <c r="D20" s="2">
        <v>4.19</v>
      </c>
      <c r="E20" s="1">
        <v>39722</v>
      </c>
      <c r="F20" s="2">
        <v>980241</v>
      </c>
      <c r="G20" s="1">
        <v>39722</v>
      </c>
      <c r="H20" s="2">
        <v>2064032</v>
      </c>
      <c r="I20" s="1">
        <v>39722</v>
      </c>
      <c r="J20" s="2">
        <v>108.65</v>
      </c>
    </row>
    <row r="21" spans="1:10" ht="15">
      <c r="A21" s="1">
        <v>39814</v>
      </c>
      <c r="B21" s="2">
        <v>1.8</v>
      </c>
      <c r="C21" s="1">
        <v>39814</v>
      </c>
      <c r="D21" s="2">
        <v>4.79</v>
      </c>
      <c r="E21" s="1">
        <v>39814</v>
      </c>
      <c r="F21" s="2">
        <v>991672</v>
      </c>
      <c r="G21" s="1">
        <v>39814</v>
      </c>
      <c r="H21" s="2">
        <v>2068591</v>
      </c>
      <c r="I21" s="1">
        <v>39814</v>
      </c>
      <c r="J21" s="2">
        <v>108.194</v>
      </c>
    </row>
    <row r="22" spans="1:10" ht="15">
      <c r="A22" s="1">
        <v>39904</v>
      </c>
      <c r="B22" s="2">
        <v>2.36</v>
      </c>
      <c r="C22" s="1">
        <v>39904</v>
      </c>
      <c r="D22" s="2">
        <v>5.75</v>
      </c>
      <c r="E22" s="1">
        <v>39904</v>
      </c>
      <c r="F22" s="2">
        <v>961096</v>
      </c>
      <c r="G22" s="1">
        <v>39904</v>
      </c>
      <c r="H22" s="2">
        <v>2122148</v>
      </c>
      <c r="I22" s="1">
        <v>39904</v>
      </c>
      <c r="J22" s="2">
        <v>108.703</v>
      </c>
    </row>
    <row r="23" spans="1:10" ht="15">
      <c r="A23" s="1">
        <v>39995</v>
      </c>
      <c r="B23" s="2">
        <v>2.46</v>
      </c>
      <c r="C23" s="1">
        <v>39995</v>
      </c>
      <c r="D23" s="2">
        <v>5.79</v>
      </c>
      <c r="E23" s="1">
        <v>39995</v>
      </c>
      <c r="F23" s="2">
        <v>954628</v>
      </c>
      <c r="G23" s="1">
        <v>39995</v>
      </c>
      <c r="H23" s="2">
        <v>2087397</v>
      </c>
      <c r="I23" s="1">
        <v>39995</v>
      </c>
      <c r="J23" s="2">
        <v>109.513</v>
      </c>
    </row>
    <row r="24" spans="1:10" ht="15">
      <c r="A24" s="1">
        <v>40087</v>
      </c>
      <c r="B24" s="2">
        <v>2.82</v>
      </c>
      <c r="C24" s="1">
        <v>40087</v>
      </c>
      <c r="D24" s="2">
        <v>5.64</v>
      </c>
      <c r="E24" s="1">
        <v>40087</v>
      </c>
      <c r="F24" s="2">
        <v>954425</v>
      </c>
      <c r="G24" s="1">
        <v>40087</v>
      </c>
      <c r="H24" s="2">
        <v>2115933</v>
      </c>
      <c r="I24" s="1">
        <v>40087</v>
      </c>
      <c r="J24" s="2">
        <v>110.265</v>
      </c>
    </row>
    <row r="25" spans="1:10" ht="15">
      <c r="A25" s="1">
        <v>40179</v>
      </c>
      <c r="B25" s="2">
        <v>2.44</v>
      </c>
      <c r="C25" s="1">
        <v>40179</v>
      </c>
      <c r="D25" s="2">
        <v>6.57</v>
      </c>
      <c r="E25" s="1">
        <v>40179</v>
      </c>
      <c r="F25" s="2">
        <v>1310182</v>
      </c>
      <c r="G25" s="1">
        <v>40179</v>
      </c>
      <c r="H25" s="2">
        <v>2104645</v>
      </c>
      <c r="I25" s="1">
        <v>40179</v>
      </c>
      <c r="J25" s="2">
        <v>110.774</v>
      </c>
    </row>
    <row r="26" spans="1:10" ht="15">
      <c r="A26" s="1">
        <v>40269</v>
      </c>
      <c r="B26" s="2">
        <v>2.15</v>
      </c>
      <c r="C26" s="1">
        <v>40269</v>
      </c>
      <c r="D26" s="2">
        <v>6.79</v>
      </c>
      <c r="E26" s="1">
        <v>40269</v>
      </c>
      <c r="F26" s="2">
        <v>1260051</v>
      </c>
      <c r="G26" s="1">
        <v>40269</v>
      </c>
      <c r="H26" s="2">
        <v>2079354</v>
      </c>
      <c r="I26" s="1">
        <v>40269</v>
      </c>
      <c r="J26" s="2">
        <v>110.864</v>
      </c>
    </row>
    <row r="27" spans="1:10" ht="15">
      <c r="A27" s="1">
        <v>40360</v>
      </c>
      <c r="B27" s="2">
        <v>1.94</v>
      </c>
      <c r="C27" s="1">
        <v>40360</v>
      </c>
      <c r="D27" s="2">
        <v>5.32</v>
      </c>
      <c r="E27" s="1">
        <v>40360</v>
      </c>
      <c r="F27" s="2">
        <v>1248315</v>
      </c>
      <c r="G27" s="1">
        <v>40360</v>
      </c>
      <c r="H27" s="2">
        <v>2075240</v>
      </c>
      <c r="I27" s="1">
        <v>40360</v>
      </c>
      <c r="J27" s="2">
        <v>111.136</v>
      </c>
    </row>
    <row r="28" spans="1:10" ht="15">
      <c r="A28" s="1">
        <v>40452</v>
      </c>
      <c r="B28" s="2">
        <v>1.96</v>
      </c>
      <c r="C28" s="1">
        <v>40452</v>
      </c>
      <c r="D28" s="2">
        <v>4.81</v>
      </c>
      <c r="E28" s="1">
        <v>40452</v>
      </c>
      <c r="F28" s="2">
        <v>1231930</v>
      </c>
      <c r="G28" s="1">
        <v>40452</v>
      </c>
      <c r="H28" s="2">
        <v>2084917</v>
      </c>
      <c r="I28" s="1">
        <v>40452</v>
      </c>
      <c r="J28" s="2">
        <v>111.673</v>
      </c>
    </row>
    <row r="29" spans="1:10" ht="15">
      <c r="A29" s="1">
        <v>40544</v>
      </c>
      <c r="B29" s="2">
        <v>1.7</v>
      </c>
      <c r="C29" s="1">
        <v>40544</v>
      </c>
      <c r="D29" s="2">
        <v>4.41</v>
      </c>
      <c r="E29" s="1">
        <v>40544</v>
      </c>
      <c r="F29" s="2">
        <v>1193340</v>
      </c>
      <c r="G29" s="1">
        <v>40544</v>
      </c>
      <c r="H29" s="2">
        <v>2058024</v>
      </c>
      <c r="I29" s="1">
        <v>40544</v>
      </c>
      <c r="J29" s="2">
        <v>112.747</v>
      </c>
    </row>
    <row r="30" spans="1:10" ht="15">
      <c r="A30" s="1">
        <v>40634</v>
      </c>
      <c r="B30" s="2">
        <v>1.68</v>
      </c>
      <c r="C30" s="1">
        <v>40634</v>
      </c>
      <c r="D30" s="2">
        <v>3.61</v>
      </c>
      <c r="E30" s="1">
        <v>40634</v>
      </c>
      <c r="F30" s="2">
        <v>1183695</v>
      </c>
      <c r="G30" s="1">
        <v>40634</v>
      </c>
      <c r="H30" s="2">
        <v>2016894</v>
      </c>
      <c r="I30" s="1">
        <v>40634</v>
      </c>
      <c r="J30" s="2">
        <v>113.666</v>
      </c>
    </row>
    <row r="31" spans="9:10" ht="15">
      <c r="I31" s="1">
        <v>40725</v>
      </c>
      <c r="J31" s="2">
        <v>114.317</v>
      </c>
    </row>
  </sheetData>
  <sheetProtection/>
  <hyperlinks>
    <hyperlink ref="A5" r:id="rId1" display="Charge-Off Rate On Single Family Residential Mortgages, Booked In Domestic Offices, All Commercial Banks"/>
    <hyperlink ref="C5" r:id="rId2" display="Charge-Off Rate On Consumer Loans, All Commercial Banks"/>
    <hyperlink ref="E5" r:id="rId3" display="Consumer Loans, All Commercial Banks"/>
    <hyperlink ref="G5" r:id="rId4" display="Total Assets Interest-Earning, All Loans And Leases, Gross, Secured By Real Estate, Single-Family (1-4 Family) Residential Mortgages, Booked In Domestic Offices, All Commercial Banks"/>
    <hyperlink ref="I5" r:id="rId5" display="Personal Consumption Expenditures: Chain-type Price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5"/>
  <cols>
    <col min="5" max="5" width="13.8515625" style="0" customWidth="1"/>
  </cols>
  <sheetData>
    <row r="1" ht="15">
      <c r="A1" t="s">
        <v>20</v>
      </c>
    </row>
    <row r="4" spans="2:4" ht="15">
      <c r="B4" s="45" t="s">
        <v>34</v>
      </c>
      <c r="C4" s="45"/>
      <c r="D4" s="45"/>
    </row>
    <row r="5" spans="1:5" ht="15">
      <c r="A5" t="s">
        <v>21</v>
      </c>
      <c r="B5" t="s">
        <v>22</v>
      </c>
      <c r="C5" t="s">
        <v>23</v>
      </c>
      <c r="D5" t="s">
        <v>24</v>
      </c>
      <c r="E5" t="s">
        <v>35</v>
      </c>
    </row>
    <row r="6" spans="1:5" ht="15">
      <c r="A6" s="5">
        <f>DATE(2008,1,1)</f>
        <v>39448</v>
      </c>
      <c r="B6" s="6">
        <v>6588</v>
      </c>
      <c r="C6" s="6">
        <v>208832</v>
      </c>
      <c r="D6" s="6">
        <f>B6+C6</f>
        <v>215420</v>
      </c>
      <c r="E6" s="6">
        <f>D6*$A$31/$A$22</f>
        <v>6947683229.685296</v>
      </c>
    </row>
    <row r="7" spans="1:5" ht="15">
      <c r="A7" s="5">
        <f>DATE(2008,4,1)</f>
        <v>39539</v>
      </c>
      <c r="B7" s="6">
        <v>9029</v>
      </c>
      <c r="C7" s="6">
        <v>259424</v>
      </c>
      <c r="D7" s="6">
        <f aca="true" t="shared" si="0" ref="D7:D18">B7+C7</f>
        <v>268453</v>
      </c>
      <c r="E7" s="6">
        <f aca="true" t="shared" si="1" ref="E7:E18">D7*$A$31/$A$22</f>
        <v>8658093055.699131</v>
      </c>
    </row>
    <row r="8" spans="1:5" ht="15">
      <c r="A8" s="5">
        <f>DATE(2008,7,1)</f>
        <v>39630</v>
      </c>
      <c r="B8" s="6">
        <v>13888</v>
      </c>
      <c r="C8" s="6">
        <v>271132</v>
      </c>
      <c r="D8" s="6">
        <f t="shared" si="0"/>
        <v>285020</v>
      </c>
      <c r="E8" s="6">
        <f t="shared" si="1"/>
        <v>9192408662.728174</v>
      </c>
    </row>
    <row r="9" spans="1:5" ht="15">
      <c r="A9" s="5">
        <f>DATE(2008,10,1)</f>
        <v>39722</v>
      </c>
      <c r="B9" s="6">
        <f>16809+1186</f>
        <v>17995</v>
      </c>
      <c r="C9" s="6">
        <v>301648</v>
      </c>
      <c r="D9" s="6">
        <f t="shared" si="0"/>
        <v>319643</v>
      </c>
      <c r="E9" s="6">
        <f t="shared" si="1"/>
        <v>10309062810.260408</v>
      </c>
    </row>
    <row r="10" spans="1:5" ht="15">
      <c r="A10" s="5">
        <f>DATE(2009,1,1)</f>
        <v>39814</v>
      </c>
      <c r="B10" s="6">
        <f>18619+1298</f>
        <v>19917</v>
      </c>
      <c r="C10" s="6">
        <v>361070</v>
      </c>
      <c r="D10" s="6">
        <f t="shared" si="0"/>
        <v>380987</v>
      </c>
      <c r="E10" s="6">
        <f t="shared" si="1"/>
        <v>12287517364.349234</v>
      </c>
    </row>
    <row r="11" spans="1:5" ht="15">
      <c r="A11" s="5">
        <f>DATE(2009,4,1)</f>
        <v>39904</v>
      </c>
      <c r="B11" s="6">
        <f>25128+1120</f>
        <v>26248</v>
      </c>
      <c r="C11" s="6">
        <v>406108</v>
      </c>
      <c r="D11" s="6">
        <f t="shared" si="0"/>
        <v>432356</v>
      </c>
      <c r="E11" s="6">
        <f t="shared" si="1"/>
        <v>13944260191.504112</v>
      </c>
    </row>
    <row r="12" spans="1:5" ht="15">
      <c r="A12" s="5">
        <f>DATE(2009,7,1)</f>
        <v>39995</v>
      </c>
      <c r="B12" s="6">
        <f>30766+1233</f>
        <v>31999</v>
      </c>
      <c r="C12" s="6">
        <v>677920</v>
      </c>
      <c r="D12" s="6">
        <f t="shared" si="0"/>
        <v>709919</v>
      </c>
      <c r="E12" s="6">
        <f t="shared" si="1"/>
        <v>22896167165.23515</v>
      </c>
    </row>
    <row r="13" spans="1:5" ht="15">
      <c r="A13" s="5">
        <f>DATE(2009,10,1)</f>
        <v>40087</v>
      </c>
      <c r="B13" s="6">
        <f>37584+1054</f>
        <v>38638</v>
      </c>
      <c r="C13" s="6">
        <v>601342</v>
      </c>
      <c r="D13" s="6">
        <f t="shared" si="0"/>
        <v>639980</v>
      </c>
      <c r="E13" s="6">
        <f t="shared" si="1"/>
        <v>20640508371.246845</v>
      </c>
    </row>
    <row r="14" spans="1:5" ht="15">
      <c r="A14" s="5">
        <f>DATE(2010,1,1)</f>
        <v>40179</v>
      </c>
      <c r="B14" s="6">
        <v>42233</v>
      </c>
      <c r="C14" s="6">
        <v>622694</v>
      </c>
      <c r="D14" s="6">
        <f t="shared" si="0"/>
        <v>664927</v>
      </c>
      <c r="E14" s="6">
        <f t="shared" si="1"/>
        <v>21445094080.702602</v>
      </c>
    </row>
    <row r="15" spans="1:5" ht="15">
      <c r="A15" s="5">
        <f>DATE(2010,4,1)</f>
        <v>40269</v>
      </c>
      <c r="B15" s="6">
        <v>57194</v>
      </c>
      <c r="C15" s="6">
        <v>566849</v>
      </c>
      <c r="D15" s="6">
        <f t="shared" si="0"/>
        <v>624043</v>
      </c>
      <c r="E15" s="6">
        <f t="shared" si="1"/>
        <v>20126511399.603107</v>
      </c>
    </row>
    <row r="16" spans="1:5" ht="15">
      <c r="A16" s="5">
        <f>DATE(2010,7,1)</f>
        <v>40360</v>
      </c>
      <c r="B16" s="6">
        <v>57986</v>
      </c>
      <c r="C16" s="6">
        <v>468109</v>
      </c>
      <c r="D16" s="6">
        <f t="shared" si="0"/>
        <v>526095</v>
      </c>
      <c r="E16" s="6">
        <f t="shared" si="1"/>
        <v>16967511877.826042</v>
      </c>
    </row>
    <row r="17" spans="1:5" ht="15">
      <c r="A17" s="5">
        <f>DATE(2010,10,1)</f>
        <v>40452</v>
      </c>
      <c r="B17" s="6">
        <f>49052+2085</f>
        <v>51137</v>
      </c>
      <c r="C17" s="6">
        <v>474778</v>
      </c>
      <c r="D17" s="6">
        <f t="shared" si="0"/>
        <v>525915</v>
      </c>
      <c r="E17" s="6">
        <f t="shared" si="1"/>
        <v>16961706553.430243</v>
      </c>
    </row>
    <row r="18" spans="1:5" ht="15">
      <c r="A18" s="5">
        <f>DATE(2011,1,1)</f>
        <v>40544</v>
      </c>
      <c r="B18" s="6">
        <f>50109+1700</f>
        <v>51809</v>
      </c>
      <c r="C18" s="6">
        <v>557451</v>
      </c>
      <c r="D18" s="6">
        <f t="shared" si="0"/>
        <v>609260</v>
      </c>
      <c r="E18" s="6">
        <f t="shared" si="1"/>
        <v>19649733007.696888</v>
      </c>
    </row>
    <row r="19" ht="15">
      <c r="A19" s="5">
        <f>DATE(2011,4,1)</f>
        <v>40634</v>
      </c>
    </row>
    <row r="21" ht="15">
      <c r="A21" t="s">
        <v>25</v>
      </c>
    </row>
    <row r="22" spans="1:2" ht="15">
      <c r="A22">
        <v>0.63</v>
      </c>
      <c r="B22" t="s">
        <v>26</v>
      </c>
    </row>
    <row r="23" spans="1:2" ht="15">
      <c r="A23">
        <v>32.9</v>
      </c>
      <c r="B23" t="s">
        <v>27</v>
      </c>
    </row>
    <row r="24" spans="1:2" ht="15">
      <c r="A24">
        <v>5.7</v>
      </c>
      <c r="B24" t="s">
        <v>28</v>
      </c>
    </row>
    <row r="26" ht="15">
      <c r="A26" t="s">
        <v>29</v>
      </c>
    </row>
    <row r="27" spans="1:2" ht="15">
      <c r="A27">
        <v>400</v>
      </c>
      <c r="B27" t="s">
        <v>30</v>
      </c>
    </row>
    <row r="28" spans="1:2" ht="15">
      <c r="A28">
        <v>60</v>
      </c>
      <c r="B28" t="s">
        <v>31</v>
      </c>
    </row>
    <row r="29" spans="1:2" ht="15">
      <c r="A29">
        <v>0.07</v>
      </c>
      <c r="B29" t="s">
        <v>32</v>
      </c>
    </row>
    <row r="30" spans="1:2" ht="15">
      <c r="A30">
        <f>A29/12</f>
        <v>0.005833333333333334</v>
      </c>
      <c r="B30" t="s">
        <v>33</v>
      </c>
    </row>
    <row r="31" spans="1:2" ht="15">
      <c r="A31" s="6">
        <f>A27*(1+A30)*(1-(1+A30)^(-A28))/A30</f>
        <v>20318.635385301906</v>
      </c>
      <c r="B31" t="s">
        <v>4</v>
      </c>
    </row>
  </sheetData>
  <sheetProtection/>
  <mergeCells count="1">
    <mergeCell ref="B4:D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31"/>
  <sheetViews>
    <sheetView zoomScalePageLayoutView="0" workbookViewId="0" topLeftCell="A1">
      <selection activeCell="A1" sqref="A1"/>
    </sheetView>
  </sheetViews>
  <sheetFormatPr defaultColWidth="9.140625" defaultRowHeight="15"/>
  <cols>
    <col min="2" max="3" width="14.7109375" style="0" customWidth="1"/>
    <col min="4" max="7" width="12.7109375" style="0" customWidth="1"/>
  </cols>
  <sheetData>
    <row r="1" ht="15">
      <c r="A1" t="s">
        <v>44</v>
      </c>
    </row>
    <row r="2" spans="2:7" ht="15">
      <c r="B2" s="45" t="s">
        <v>45</v>
      </c>
      <c r="C2" s="45"/>
      <c r="D2" s="45" t="s">
        <v>46</v>
      </c>
      <c r="E2" s="45"/>
      <c r="F2" s="45" t="s">
        <v>47</v>
      </c>
      <c r="G2" s="45"/>
    </row>
    <row r="3" spans="2:5" ht="15">
      <c r="B3">
        <f>MATCH(B4,Fredconnect!$A$1:$H$1,0)</f>
        <v>5</v>
      </c>
      <c r="C3">
        <f>MATCH(C4,Fredconnect!$A$1:$H$1,0)</f>
        <v>7</v>
      </c>
      <c r="D3">
        <f>MATCH(D4,Fredconnect!$A$1:$H$1,0)</f>
        <v>3</v>
      </c>
      <c r="E3">
        <f>MATCH(E4,Fredconnect!$A$1:$H$1,0)</f>
        <v>1</v>
      </c>
    </row>
    <row r="4" spans="2:7" ht="15">
      <c r="B4" t="s">
        <v>15</v>
      </c>
      <c r="C4" t="s">
        <v>14</v>
      </c>
      <c r="D4" t="s">
        <v>6</v>
      </c>
      <c r="E4" t="s">
        <v>5</v>
      </c>
      <c r="F4" t="s">
        <v>17</v>
      </c>
      <c r="G4" s="4" t="s">
        <v>16</v>
      </c>
    </row>
    <row r="5" spans="1:5" ht="15">
      <c r="A5" s="1" t="s">
        <v>3</v>
      </c>
      <c r="B5" t="s">
        <v>17</v>
      </c>
      <c r="C5" s="4" t="s">
        <v>16</v>
      </c>
      <c r="D5" t="s">
        <v>17</v>
      </c>
      <c r="E5" s="4" t="s">
        <v>16</v>
      </c>
    </row>
    <row r="6" spans="1:5" ht="15">
      <c r="A6" s="1"/>
      <c r="C6" s="4"/>
      <c r="E6" s="4"/>
    </row>
    <row r="7" spans="1:7" ht="15">
      <c r="A7" s="1" t="s">
        <v>95</v>
      </c>
      <c r="B7" s="6"/>
      <c r="C7" s="4"/>
      <c r="E7" s="4"/>
      <c r="F7" s="6"/>
      <c r="G7" s="6">
        <f>SUM(G18:G21)</f>
        <v>25488.788999999997</v>
      </c>
    </row>
    <row r="8" spans="1:5" ht="15">
      <c r="A8" s="1"/>
      <c r="C8" s="4"/>
      <c r="E8" s="4"/>
    </row>
    <row r="9" spans="1:7" ht="15">
      <c r="A9" s="5">
        <v>38626</v>
      </c>
      <c r="B9" s="6">
        <f>VLOOKUP($A9,Fredconnect!$A$8:$H$39,otherloans!B$3+1)</f>
        <v>792908</v>
      </c>
      <c r="C9" s="6">
        <f>VLOOKUP($A9,Fredconnect!$A$8:$H$39,otherloans!C$3+1)</f>
        <v>1616529</v>
      </c>
      <c r="D9" s="7">
        <f>VLOOKUP($A9,Fredconnect!$A$8:$H$39,D$3+1)/100</f>
        <v>0.030299999999999997</v>
      </c>
      <c r="E9" s="7">
        <f>VLOOKUP($A9,Fredconnect!$A$8:$H$39,E$3+1)/100</f>
        <v>0.0006</v>
      </c>
      <c r="F9" s="6">
        <f aca="true" t="shared" si="0" ref="F9:F30">B9*D9/4</f>
        <v>6006.2780999999995</v>
      </c>
      <c r="G9" s="6">
        <f aca="true" t="shared" si="1" ref="G9:G30">C9*E9/4</f>
        <v>242.47934999999998</v>
      </c>
    </row>
    <row r="10" spans="1:7" ht="15">
      <c r="A10" s="5">
        <v>38718</v>
      </c>
      <c r="B10" s="6">
        <f>VLOOKUP($A10,Fredconnect!$A$8:$H$39,otherloans!B$3+1)</f>
        <v>799456</v>
      </c>
      <c r="C10" s="6">
        <f>VLOOKUP($A10,Fredconnect!$A$8:$H$39,otherloans!C$3+1)</f>
        <v>1632684</v>
      </c>
      <c r="D10" s="7">
        <f>VLOOKUP($A10,Fredconnect!$A$8:$H$39,D$3+1)/100</f>
        <v>0.0176</v>
      </c>
      <c r="E10" s="7">
        <f>VLOOKUP($A10,Fredconnect!$A$8:$H$39,E$3+1)/100</f>
        <v>0.0009</v>
      </c>
      <c r="F10" s="6">
        <f t="shared" si="0"/>
        <v>3517.6064</v>
      </c>
      <c r="G10" s="6">
        <f t="shared" si="1"/>
        <v>367.3539</v>
      </c>
    </row>
    <row r="11" spans="1:7" ht="15">
      <c r="A11" s="5">
        <v>38808</v>
      </c>
      <c r="B11" s="6">
        <f>VLOOKUP($A11,Fredconnect!$A$8:$H$39,otherloans!B$3+1)</f>
        <v>806247</v>
      </c>
      <c r="C11" s="6">
        <f>VLOOKUP($A11,Fredconnect!$A$8:$H$39,otherloans!C$3+1)</f>
        <v>1676345</v>
      </c>
      <c r="D11" s="7">
        <f>VLOOKUP($A11,Fredconnect!$A$8:$H$39,D$3+1)/100</f>
        <v>0.0195</v>
      </c>
      <c r="E11" s="7">
        <f>VLOOKUP($A11,Fredconnect!$A$8:$H$39,E$3+1)/100</f>
        <v>0.001</v>
      </c>
      <c r="F11" s="6">
        <f t="shared" si="0"/>
        <v>3930.454125</v>
      </c>
      <c r="G11" s="6">
        <f t="shared" si="1"/>
        <v>419.08625</v>
      </c>
    </row>
    <row r="12" spans="1:7" ht="15">
      <c r="A12" s="5">
        <v>38899</v>
      </c>
      <c r="B12" s="6">
        <f>VLOOKUP($A12,Fredconnect!$A$8:$H$39,otherloans!B$3+1)</f>
        <v>809729</v>
      </c>
      <c r="C12" s="6">
        <f>VLOOKUP($A12,Fredconnect!$A$8:$H$39,otherloans!C$3+1)</f>
        <v>1704222</v>
      </c>
      <c r="D12" s="7">
        <f>VLOOKUP($A12,Fredconnect!$A$8:$H$39,D$3+1)/100</f>
        <v>0.0225</v>
      </c>
      <c r="E12" s="7">
        <f>VLOOKUP($A12,Fredconnect!$A$8:$H$39,E$3+1)/100</f>
        <v>0.0012</v>
      </c>
      <c r="F12" s="6">
        <f t="shared" si="0"/>
        <v>4554.725625</v>
      </c>
      <c r="G12" s="6">
        <f t="shared" si="1"/>
        <v>511.2666</v>
      </c>
    </row>
    <row r="13" spans="1:7" ht="15">
      <c r="A13" s="5">
        <v>38991</v>
      </c>
      <c r="B13" s="6">
        <f>VLOOKUP($A13,Fredconnect!$A$8:$H$39,otherloans!B$3+1)</f>
        <v>824247</v>
      </c>
      <c r="C13" s="6">
        <f>VLOOKUP($A13,Fredconnect!$A$8:$H$39,otherloans!C$3+1)</f>
        <v>1871495</v>
      </c>
      <c r="D13" s="7">
        <f>VLOOKUP($A13,Fredconnect!$A$8:$H$39,D$3+1)/100</f>
        <v>0.0225</v>
      </c>
      <c r="E13" s="7">
        <f>VLOOKUP($A13,Fredconnect!$A$8:$H$39,E$3+1)/100</f>
        <v>0.0012</v>
      </c>
      <c r="F13" s="6">
        <f t="shared" si="0"/>
        <v>4636.389375</v>
      </c>
      <c r="G13" s="6">
        <f t="shared" si="1"/>
        <v>561.4485</v>
      </c>
    </row>
    <row r="14" spans="1:7" ht="15">
      <c r="A14" s="5">
        <v>39083</v>
      </c>
      <c r="B14" s="6">
        <f>VLOOKUP($A14,Fredconnect!$A$8:$H$39,otherloans!B$3+1)</f>
        <v>847791</v>
      </c>
      <c r="C14" s="6">
        <f>VLOOKUP($A14,Fredconnect!$A$8:$H$39,otherloans!C$3+1)</f>
        <v>1830181</v>
      </c>
      <c r="D14" s="7">
        <f>VLOOKUP($A14,Fredconnect!$A$8:$H$39,D$3+1)/100</f>
        <v>0.023399999999999997</v>
      </c>
      <c r="E14" s="7">
        <f>VLOOKUP($A14,Fredconnect!$A$8:$H$39,E$3+1)/100</f>
        <v>0.0015</v>
      </c>
      <c r="F14" s="6">
        <f t="shared" si="0"/>
        <v>4959.57735</v>
      </c>
      <c r="G14" s="6">
        <f t="shared" si="1"/>
        <v>686.317875</v>
      </c>
    </row>
    <row r="15" spans="1:7" ht="15">
      <c r="A15" s="5">
        <v>39173</v>
      </c>
      <c r="B15" s="6">
        <f>VLOOKUP($A15,Fredconnect!$A$8:$H$39,otherloans!B$3+1)</f>
        <v>853692</v>
      </c>
      <c r="C15" s="6">
        <f>VLOOKUP($A15,Fredconnect!$A$8:$H$39,otherloans!C$3+1)</f>
        <v>1868633</v>
      </c>
      <c r="D15" s="7">
        <f>VLOOKUP($A15,Fredconnect!$A$8:$H$39,D$3+1)/100</f>
        <v>0.023700000000000002</v>
      </c>
      <c r="E15" s="7">
        <f>VLOOKUP($A15,Fredconnect!$A$8:$H$39,E$3+1)/100</f>
        <v>0.0019</v>
      </c>
      <c r="F15" s="6">
        <f t="shared" si="0"/>
        <v>5058.1251</v>
      </c>
      <c r="G15" s="6">
        <f t="shared" si="1"/>
        <v>887.600675</v>
      </c>
    </row>
    <row r="16" spans="1:7" ht="15">
      <c r="A16" s="5">
        <v>39264</v>
      </c>
      <c r="B16" s="6">
        <f>VLOOKUP($A16,Fredconnect!$A$8:$H$39,otherloans!B$3+1)</f>
        <v>892459</v>
      </c>
      <c r="C16" s="6">
        <f>VLOOKUP($A16,Fredconnect!$A$8:$H$39,otherloans!C$3+1)</f>
        <v>1898887</v>
      </c>
      <c r="D16" s="7">
        <f>VLOOKUP($A16,Fredconnect!$A$8:$H$39,D$3+1)/100</f>
        <v>0.025699999999999997</v>
      </c>
      <c r="E16" s="7">
        <f>VLOOKUP($A16,Fredconnect!$A$8:$H$39,E$3+1)/100</f>
        <v>0.0027</v>
      </c>
      <c r="F16" s="6">
        <f t="shared" si="0"/>
        <v>5734.049074999999</v>
      </c>
      <c r="G16" s="6">
        <f t="shared" si="1"/>
        <v>1281.7487250000001</v>
      </c>
    </row>
    <row r="17" spans="1:7" ht="15">
      <c r="A17" s="5">
        <v>39356</v>
      </c>
      <c r="B17" s="6">
        <f>VLOOKUP($A17,Fredconnect!$A$8:$H$39,otherloans!B$3+1)</f>
        <v>923159</v>
      </c>
      <c r="C17" s="6">
        <f>VLOOKUP($A17,Fredconnect!$A$8:$H$39,otherloans!C$3+1)</f>
        <v>1971362</v>
      </c>
      <c r="D17" s="7">
        <f>VLOOKUP($A17,Fredconnect!$A$8:$H$39,D$3+1)/100</f>
        <v>0.0271</v>
      </c>
      <c r="E17" s="7">
        <f>VLOOKUP($A17,Fredconnect!$A$8:$H$39,E$3+1)/100</f>
        <v>0.0044</v>
      </c>
      <c r="F17" s="6">
        <f t="shared" si="0"/>
        <v>6254.402225</v>
      </c>
      <c r="G17" s="6">
        <f t="shared" si="1"/>
        <v>2168.4982</v>
      </c>
    </row>
    <row r="18" spans="1:7" ht="15">
      <c r="A18" s="5">
        <v>39448</v>
      </c>
      <c r="B18" s="6">
        <f>VLOOKUP($A18,Fredconnect!$A$8:$H$39,otherloans!B$3+1)</f>
        <v>957469</v>
      </c>
      <c r="C18" s="6">
        <f>VLOOKUP($A18,Fredconnect!$A$8:$H$39,otherloans!C$3+1)</f>
        <v>1982207</v>
      </c>
      <c r="D18" s="7">
        <f>VLOOKUP($A18,Fredconnect!$A$8:$H$39,D$3+1)/100</f>
        <v>0.029500000000000002</v>
      </c>
      <c r="E18" s="7">
        <f>VLOOKUP($A18,Fredconnect!$A$8:$H$39,E$3+1)/100</f>
        <v>0.0084</v>
      </c>
      <c r="F18" s="6">
        <f t="shared" si="0"/>
        <v>7061.333875</v>
      </c>
      <c r="G18" s="6">
        <f t="shared" si="1"/>
        <v>4162.6347</v>
      </c>
    </row>
    <row r="19" spans="1:7" ht="15">
      <c r="A19" s="5">
        <v>39539</v>
      </c>
      <c r="B19" s="6">
        <f>VLOOKUP($A19,Fredconnect!$A$8:$H$39,otherloans!B$3+1)</f>
        <v>960262</v>
      </c>
      <c r="C19" s="6">
        <f>VLOOKUP($A19,Fredconnect!$A$8:$H$39,otherloans!C$3+1)</f>
        <v>1973313</v>
      </c>
      <c r="D19" s="7">
        <f>VLOOKUP($A19,Fredconnect!$A$8:$H$39,D$3+1)/100</f>
        <v>0.0335</v>
      </c>
      <c r="E19" s="7">
        <f>VLOOKUP($A19,Fredconnect!$A$8:$H$39,E$3+1)/100</f>
        <v>0.0118</v>
      </c>
      <c r="F19" s="6">
        <f t="shared" si="0"/>
        <v>8042.1942500000005</v>
      </c>
      <c r="G19" s="6">
        <f t="shared" si="1"/>
        <v>5821.2733499999995</v>
      </c>
    </row>
    <row r="20" spans="1:7" ht="15">
      <c r="A20" s="5">
        <v>39630</v>
      </c>
      <c r="B20" s="6">
        <f>VLOOKUP($A20,Fredconnect!$A$8:$H$39,otherloans!B$3+1)</f>
        <v>975384</v>
      </c>
      <c r="C20" s="6">
        <f>VLOOKUP($A20,Fredconnect!$A$8:$H$39,otherloans!C$3+1)</f>
        <v>1946761</v>
      </c>
      <c r="D20" s="7">
        <f>VLOOKUP($A20,Fredconnect!$A$8:$H$39,D$3+1)/100</f>
        <v>0.0362</v>
      </c>
      <c r="E20" s="7">
        <f>VLOOKUP($A20,Fredconnect!$A$8:$H$39,E$3+1)/100</f>
        <v>0.015</v>
      </c>
      <c r="F20" s="6">
        <f t="shared" si="0"/>
        <v>8827.2252</v>
      </c>
      <c r="G20" s="6">
        <f t="shared" si="1"/>
        <v>7300.353749999999</v>
      </c>
    </row>
    <row r="21" spans="1:7" ht="15">
      <c r="A21" s="5">
        <v>39722</v>
      </c>
      <c r="B21" s="6">
        <f>VLOOKUP($A21,Fredconnect!$A$8:$H$39,otherloans!B$3+1)</f>
        <v>980241</v>
      </c>
      <c r="C21" s="6">
        <f>VLOOKUP($A21,Fredconnect!$A$8:$H$39,otherloans!C$3+1)</f>
        <v>2064032</v>
      </c>
      <c r="D21" s="7">
        <f>VLOOKUP($A21,Fredconnect!$A$8:$H$39,D$3+1)/100</f>
        <v>0.04190000000000001</v>
      </c>
      <c r="E21" s="7">
        <f>VLOOKUP($A21,Fredconnect!$A$8:$H$39,E$3+1)/100</f>
        <v>0.0159</v>
      </c>
      <c r="F21" s="6">
        <f t="shared" si="0"/>
        <v>10268.024475000002</v>
      </c>
      <c r="G21" s="6">
        <f t="shared" si="1"/>
        <v>8204.5272</v>
      </c>
    </row>
    <row r="22" spans="1:7" ht="15">
      <c r="A22" s="5">
        <v>39814</v>
      </c>
      <c r="B22" s="6">
        <f>VLOOKUP($A22,Fredconnect!$A$8:$H$39,otherloans!B$3+1)</f>
        <v>991672</v>
      </c>
      <c r="C22" s="6">
        <f>VLOOKUP($A22,Fredconnect!$A$8:$H$39,otherloans!C$3+1)</f>
        <v>2068591</v>
      </c>
      <c r="D22" s="7">
        <f>VLOOKUP($A22,Fredconnect!$A$8:$H$39,D$3+1)/100</f>
        <v>0.0479</v>
      </c>
      <c r="E22" s="7">
        <f>VLOOKUP($A22,Fredconnect!$A$8:$H$39,E$3+1)/100</f>
        <v>0.018000000000000002</v>
      </c>
      <c r="F22" s="6">
        <f t="shared" si="0"/>
        <v>11875.2722</v>
      </c>
      <c r="G22" s="6">
        <f t="shared" si="1"/>
        <v>9308.659500000002</v>
      </c>
    </row>
    <row r="23" spans="1:7" ht="15">
      <c r="A23" s="5">
        <v>39904</v>
      </c>
      <c r="B23" s="6">
        <f>VLOOKUP($A23,Fredconnect!$A$8:$H$39,otherloans!B$3+1)</f>
        <v>961096</v>
      </c>
      <c r="C23" s="6">
        <f>VLOOKUP($A23,Fredconnect!$A$8:$H$39,otherloans!C$3+1)</f>
        <v>2122148</v>
      </c>
      <c r="D23" s="7">
        <f>VLOOKUP($A23,Fredconnect!$A$8:$H$39,D$3+1)/100</f>
        <v>0.0575</v>
      </c>
      <c r="E23" s="7">
        <f>VLOOKUP($A23,Fredconnect!$A$8:$H$39,E$3+1)/100</f>
        <v>0.0236</v>
      </c>
      <c r="F23" s="6">
        <f t="shared" si="0"/>
        <v>13815.755000000001</v>
      </c>
      <c r="G23" s="6">
        <f t="shared" si="1"/>
        <v>12520.6732</v>
      </c>
    </row>
    <row r="24" spans="1:7" ht="15">
      <c r="A24" s="5">
        <v>39995</v>
      </c>
      <c r="B24" s="6">
        <f>VLOOKUP($A24,Fredconnect!$A$8:$H$39,otherloans!B$3+1)</f>
        <v>954628</v>
      </c>
      <c r="C24" s="6">
        <f>VLOOKUP($A24,Fredconnect!$A$8:$H$39,otherloans!C$3+1)</f>
        <v>2087397</v>
      </c>
      <c r="D24" s="7">
        <f>VLOOKUP($A24,Fredconnect!$A$8:$H$39,D$3+1)/100</f>
        <v>0.0579</v>
      </c>
      <c r="E24" s="7">
        <f>VLOOKUP($A24,Fredconnect!$A$8:$H$39,E$3+1)/100</f>
        <v>0.0246</v>
      </c>
      <c r="F24" s="6">
        <f t="shared" si="0"/>
        <v>13818.2403</v>
      </c>
      <c r="G24" s="6">
        <f t="shared" si="1"/>
        <v>12837.49155</v>
      </c>
    </row>
    <row r="25" spans="1:7" ht="15">
      <c r="A25" s="5">
        <v>40087</v>
      </c>
      <c r="B25" s="6">
        <f>VLOOKUP($A25,Fredconnect!$A$8:$H$39,otherloans!B$3+1)</f>
        <v>954425</v>
      </c>
      <c r="C25" s="6">
        <f>VLOOKUP($A25,Fredconnect!$A$8:$H$39,otherloans!C$3+1)</f>
        <v>2115933</v>
      </c>
      <c r="D25" s="7">
        <f>VLOOKUP($A25,Fredconnect!$A$8:$H$39,D$3+1)/100</f>
        <v>0.0564</v>
      </c>
      <c r="E25" s="7">
        <f>VLOOKUP($A25,Fredconnect!$A$8:$H$39,E$3+1)/100</f>
        <v>0.0282</v>
      </c>
      <c r="F25" s="6">
        <f t="shared" si="0"/>
        <v>13457.3925</v>
      </c>
      <c r="G25" s="6">
        <f t="shared" si="1"/>
        <v>14917.32765</v>
      </c>
    </row>
    <row r="26" spans="1:7" ht="15">
      <c r="A26" s="5">
        <v>40179</v>
      </c>
      <c r="B26" s="6">
        <f>VLOOKUP($A26,Fredconnect!$A$8:$H$39,otherloans!B$3+1)</f>
        <v>1310182</v>
      </c>
      <c r="C26" s="6">
        <f>VLOOKUP($A26,Fredconnect!$A$8:$H$39,otherloans!C$3+1)</f>
        <v>2104645</v>
      </c>
      <c r="D26" s="7">
        <f>VLOOKUP($A26,Fredconnect!$A$8:$H$39,D$3+1)/100</f>
        <v>0.06570000000000001</v>
      </c>
      <c r="E26" s="7">
        <f>VLOOKUP($A26,Fredconnect!$A$8:$H$39,E$3+1)/100</f>
        <v>0.024399999999999998</v>
      </c>
      <c r="F26" s="6">
        <f t="shared" si="0"/>
        <v>21519.739350000003</v>
      </c>
      <c r="G26" s="6">
        <f t="shared" si="1"/>
        <v>12838.334499999999</v>
      </c>
    </row>
    <row r="27" spans="1:7" ht="15">
      <c r="A27" s="5">
        <v>40269</v>
      </c>
      <c r="B27" s="6">
        <f>VLOOKUP($A27,Fredconnect!$A$8:$H$39,otherloans!B$3+1)</f>
        <v>1260051</v>
      </c>
      <c r="C27" s="6">
        <f>VLOOKUP($A27,Fredconnect!$A$8:$H$39,otherloans!C$3+1)</f>
        <v>2079354</v>
      </c>
      <c r="D27" s="7">
        <f>VLOOKUP($A27,Fredconnect!$A$8:$H$39,D$3+1)/100</f>
        <v>0.0679</v>
      </c>
      <c r="E27" s="7">
        <f>VLOOKUP($A27,Fredconnect!$A$8:$H$39,E$3+1)/100</f>
        <v>0.0215</v>
      </c>
      <c r="F27" s="6">
        <f t="shared" si="0"/>
        <v>21389.365725</v>
      </c>
      <c r="G27" s="6">
        <f t="shared" si="1"/>
        <v>11176.52775</v>
      </c>
    </row>
    <row r="28" spans="1:7" ht="15">
      <c r="A28" s="5">
        <v>40360</v>
      </c>
      <c r="B28" s="6">
        <f>VLOOKUP($A28,Fredconnect!$A$8:$H$39,otherloans!B$3+1)</f>
        <v>1248315</v>
      </c>
      <c r="C28" s="6">
        <f>VLOOKUP($A28,Fredconnect!$A$8:$H$39,otherloans!C$3+1)</f>
        <v>2075240</v>
      </c>
      <c r="D28" s="7">
        <f>VLOOKUP($A28,Fredconnect!$A$8:$H$39,D$3+1)/100</f>
        <v>0.053200000000000004</v>
      </c>
      <c r="E28" s="7">
        <f>VLOOKUP($A28,Fredconnect!$A$8:$H$39,E$3+1)/100</f>
        <v>0.0194</v>
      </c>
      <c r="F28" s="6">
        <f t="shared" si="0"/>
        <v>16602.589500000002</v>
      </c>
      <c r="G28" s="6">
        <f t="shared" si="1"/>
        <v>10064.914</v>
      </c>
    </row>
    <row r="29" spans="1:7" ht="15">
      <c r="A29" s="5">
        <v>40452</v>
      </c>
      <c r="B29" s="6">
        <f>VLOOKUP($A29,Fredconnect!$A$8:$H$39,otherloans!B$3+1)</f>
        <v>1231930</v>
      </c>
      <c r="C29" s="6">
        <f>VLOOKUP($A29,Fredconnect!$A$8:$H$39,otherloans!C$3+1)</f>
        <v>2084917</v>
      </c>
      <c r="D29" s="7">
        <f>VLOOKUP($A29,Fredconnect!$A$8:$H$39,D$3+1)/100</f>
        <v>0.0481</v>
      </c>
      <c r="E29" s="7">
        <f>VLOOKUP($A29,Fredconnect!$A$8:$H$39,E$3+1)/100</f>
        <v>0.0196</v>
      </c>
      <c r="F29" s="6">
        <f t="shared" si="0"/>
        <v>14813.95825</v>
      </c>
      <c r="G29" s="6">
        <f t="shared" si="1"/>
        <v>10216.0933</v>
      </c>
    </row>
    <row r="30" spans="1:7" ht="15">
      <c r="A30" s="5">
        <v>40544</v>
      </c>
      <c r="B30" s="6">
        <f>VLOOKUP($A30,Fredconnect!$A$8:$H$39,otherloans!B$3+1)</f>
        <v>1193340</v>
      </c>
      <c r="C30" s="6">
        <f>VLOOKUP($A30,Fredconnect!$A$8:$H$39,otherloans!C$3+1)</f>
        <v>2058024</v>
      </c>
      <c r="D30" s="7">
        <f>VLOOKUP($A30,Fredconnect!$A$8:$H$39,D$3+1)/100</f>
        <v>0.0441</v>
      </c>
      <c r="E30" s="7">
        <f>VLOOKUP($A30,Fredconnect!$A$8:$H$39,E$3+1)/100</f>
        <v>0.017</v>
      </c>
      <c r="F30" s="6">
        <f t="shared" si="0"/>
        <v>13156.5735</v>
      </c>
      <c r="G30" s="6">
        <f t="shared" si="1"/>
        <v>8746.602</v>
      </c>
    </row>
    <row r="31" spans="1:4" ht="15">
      <c r="A31" s="5"/>
      <c r="B31" s="6"/>
      <c r="C31" s="6"/>
      <c r="D31" s="6"/>
    </row>
  </sheetData>
  <sheetProtection/>
  <mergeCells count="3">
    <mergeCell ref="B2:C2"/>
    <mergeCell ref="D2:E2"/>
    <mergeCell ref="F2:G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5:U31"/>
  <sheetViews>
    <sheetView zoomScalePageLayoutView="0" workbookViewId="0" topLeftCell="A1">
      <selection activeCell="A1" sqref="A1"/>
    </sheetView>
  </sheetViews>
  <sheetFormatPr defaultColWidth="9.140625" defaultRowHeight="15"/>
  <cols>
    <col min="11" max="11" width="2.7109375" style="0" customWidth="1"/>
  </cols>
  <sheetData>
    <row r="5" spans="2:21" ht="15">
      <c r="B5" s="45" t="s">
        <v>67</v>
      </c>
      <c r="C5" s="45"/>
      <c r="D5" s="45"/>
      <c r="E5" s="45"/>
      <c r="F5" s="45"/>
      <c r="G5" s="45"/>
      <c r="H5" s="45"/>
      <c r="I5" s="45"/>
      <c r="J5" s="45"/>
      <c r="K5" s="17"/>
      <c r="L5" s="45" t="s">
        <v>69</v>
      </c>
      <c r="M5" s="45"/>
      <c r="N5" s="45"/>
      <c r="O5" s="45"/>
      <c r="P5" s="45"/>
      <c r="Q5" s="45"/>
      <c r="R5" s="45"/>
      <c r="S5" s="45"/>
      <c r="T5" s="45"/>
      <c r="U5" s="45"/>
    </row>
    <row r="6" spans="2:10" ht="15">
      <c r="B6" t="s">
        <v>50</v>
      </c>
      <c r="C6" t="s">
        <v>51</v>
      </c>
      <c r="D6" t="s">
        <v>52</v>
      </c>
      <c r="E6" t="s">
        <v>60</v>
      </c>
      <c r="F6" t="s">
        <v>53</v>
      </c>
      <c r="G6" t="s">
        <v>54</v>
      </c>
      <c r="H6" t="s">
        <v>55</v>
      </c>
      <c r="I6" t="s">
        <v>56</v>
      </c>
      <c r="J6" t="s">
        <v>57</v>
      </c>
    </row>
    <row r="7" spans="2:21" ht="15">
      <c r="B7" s="45" t="s">
        <v>48</v>
      </c>
      <c r="C7" s="45"/>
      <c r="D7" s="45"/>
      <c r="E7" s="45" t="s">
        <v>61</v>
      </c>
      <c r="F7" s="45"/>
      <c r="G7" s="45"/>
      <c r="H7" s="45"/>
      <c r="I7" s="45"/>
      <c r="J7" s="45"/>
      <c r="K7" s="17"/>
      <c r="L7" s="45" t="s">
        <v>48</v>
      </c>
      <c r="M7" s="45"/>
      <c r="N7" s="45"/>
      <c r="O7" s="45" t="s">
        <v>61</v>
      </c>
      <c r="P7" s="45"/>
      <c r="Q7" s="45"/>
      <c r="R7" s="45"/>
      <c r="S7" s="45"/>
      <c r="T7" s="45"/>
      <c r="U7" t="s">
        <v>70</v>
      </c>
    </row>
    <row r="8" spans="2:20" ht="15">
      <c r="B8" t="s">
        <v>49</v>
      </c>
      <c r="C8" t="s">
        <v>58</v>
      </c>
      <c r="D8" t="s">
        <v>59</v>
      </c>
      <c r="E8" t="s">
        <v>62</v>
      </c>
      <c r="F8" t="s">
        <v>63</v>
      </c>
      <c r="G8" t="s">
        <v>59</v>
      </c>
      <c r="H8" t="s">
        <v>64</v>
      </c>
      <c r="I8" t="s">
        <v>65</v>
      </c>
      <c r="J8" t="s">
        <v>66</v>
      </c>
      <c r="L8" t="s">
        <v>49</v>
      </c>
      <c r="M8" t="s">
        <v>58</v>
      </c>
      <c r="N8" t="s">
        <v>59</v>
      </c>
      <c r="O8" t="s">
        <v>62</v>
      </c>
      <c r="P8" t="s">
        <v>63</v>
      </c>
      <c r="Q8" t="s">
        <v>59</v>
      </c>
      <c r="R8" t="s">
        <v>64</v>
      </c>
      <c r="S8" t="s">
        <v>65</v>
      </c>
      <c r="T8" t="s">
        <v>66</v>
      </c>
    </row>
    <row r="9" ht="15">
      <c r="A9" s="5">
        <v>38626</v>
      </c>
    </row>
    <row r="10" spans="1:21" ht="15">
      <c r="A10" s="5">
        <v>38718</v>
      </c>
      <c r="B10" s="6">
        <v>30080</v>
      </c>
      <c r="C10" s="6">
        <v>29708</v>
      </c>
      <c r="D10" s="6">
        <v>34640</v>
      </c>
      <c r="E10" s="6">
        <v>290516</v>
      </c>
      <c r="F10" s="6">
        <v>18184</v>
      </c>
      <c r="G10" s="6">
        <v>4976</v>
      </c>
      <c r="H10" s="6">
        <v>9992</v>
      </c>
      <c r="I10" s="6">
        <v>2936</v>
      </c>
      <c r="J10" s="6">
        <v>14264</v>
      </c>
      <c r="K10" s="6"/>
      <c r="L10" s="6">
        <f>B10*inclusion!B$18</f>
        <v>29075.328</v>
      </c>
      <c r="M10" s="6">
        <f>C10*inclusion!C$18</f>
        <v>27739.844999999998</v>
      </c>
      <c r="N10" s="6">
        <f>D10*inclusion!D$18</f>
        <v>30359.3630270939</v>
      </c>
      <c r="O10" s="6">
        <f>E10*inclusion!E$18</f>
        <v>172151.71876124613</v>
      </c>
      <c r="P10" s="6">
        <f>F10*inclusion!F$18</f>
        <v>16979.309999999998</v>
      </c>
      <c r="Q10" s="6">
        <f>G10*inclusion!G$18</f>
        <v>4361.090947540971</v>
      </c>
      <c r="R10" s="6">
        <f>H10*inclusion!H$18</f>
        <v>9330.029999999999</v>
      </c>
      <c r="S10" s="6">
        <f>I10*inclusion!I$18</f>
        <v>2741.49</v>
      </c>
      <c r="T10" s="6">
        <f>J10*inclusion!J$18</f>
        <v>13319.01</v>
      </c>
      <c r="U10" s="6">
        <f>SUM(L10:T10)</f>
        <v>306057.185735881</v>
      </c>
    </row>
    <row r="11" spans="1:21" ht="15">
      <c r="A11" s="5">
        <v>38808</v>
      </c>
      <c r="B11" s="6">
        <v>29864</v>
      </c>
      <c r="C11" s="6">
        <v>29560</v>
      </c>
      <c r="D11" s="6">
        <v>34728</v>
      </c>
      <c r="E11" s="6">
        <v>296068</v>
      </c>
      <c r="F11" s="6">
        <v>18200</v>
      </c>
      <c r="G11" s="6">
        <v>5280</v>
      </c>
      <c r="H11" s="6">
        <v>10280</v>
      </c>
      <c r="I11" s="6">
        <v>3056</v>
      </c>
      <c r="J11" s="6">
        <v>14276</v>
      </c>
      <c r="K11" s="6"/>
      <c r="L11" s="6">
        <f>B11*inclusion!B$18</f>
        <v>28866.542400000002</v>
      </c>
      <c r="M11" s="6">
        <f>C11*inclusion!C$18</f>
        <v>27601.649999999998</v>
      </c>
      <c r="N11" s="6">
        <f>D11*inclusion!D$18</f>
        <v>30436.488429703146</v>
      </c>
      <c r="O11" s="6">
        <f>E11*inclusion!E$18</f>
        <v>175441.6798737578</v>
      </c>
      <c r="P11" s="6">
        <f>F11*inclusion!F$18</f>
        <v>16994.25</v>
      </c>
      <c r="Q11" s="6">
        <f>G11*inclusion!G$18</f>
        <v>4627.5241565547285</v>
      </c>
      <c r="R11" s="6">
        <f>H11*inclusion!H$18</f>
        <v>9598.949999999999</v>
      </c>
      <c r="S11" s="6">
        <f>I11*inclusion!I$18</f>
        <v>2853.54</v>
      </c>
      <c r="T11" s="6">
        <f>J11*inclusion!J$18</f>
        <v>13330.215</v>
      </c>
      <c r="U11" s="6">
        <f aca="true" t="shared" si="0" ref="U11:U31">SUM(L11:T11)</f>
        <v>309750.83986001567</v>
      </c>
    </row>
    <row r="12" spans="1:21" ht="15">
      <c r="A12" s="5">
        <v>38899</v>
      </c>
      <c r="B12" s="6">
        <v>30840</v>
      </c>
      <c r="C12" s="6">
        <v>29036</v>
      </c>
      <c r="D12" s="6">
        <v>34560</v>
      </c>
      <c r="E12" s="6">
        <v>307960</v>
      </c>
      <c r="F12" s="6">
        <v>18232</v>
      </c>
      <c r="G12" s="6">
        <v>5288</v>
      </c>
      <c r="H12" s="6">
        <v>10584</v>
      </c>
      <c r="I12" s="6">
        <v>3060</v>
      </c>
      <c r="J12" s="6">
        <v>14328</v>
      </c>
      <c r="K12" s="6"/>
      <c r="L12" s="6">
        <f>B12*inclusion!B$18</f>
        <v>29809.944</v>
      </c>
      <c r="M12" s="6">
        <f>C12*inclusion!C$18</f>
        <v>27112.364999999998</v>
      </c>
      <c r="N12" s="6">
        <f>D12*inclusion!D$18</f>
        <v>30289.24902472186</v>
      </c>
      <c r="O12" s="6">
        <f>E12*inclusion!E$18</f>
        <v>182488.54902901512</v>
      </c>
      <c r="P12" s="6">
        <f>F12*inclusion!F$18</f>
        <v>17024.13</v>
      </c>
      <c r="Q12" s="6">
        <f>G12*inclusion!G$18</f>
        <v>4634.535556791932</v>
      </c>
      <c r="R12" s="6">
        <f>H12*inclusion!H$18</f>
        <v>9882.81</v>
      </c>
      <c r="S12" s="6">
        <f>I12*inclusion!I$18</f>
        <v>2857.275</v>
      </c>
      <c r="T12" s="6">
        <f>J12*inclusion!J$18</f>
        <v>13378.77</v>
      </c>
      <c r="U12" s="6">
        <f t="shared" si="0"/>
        <v>317477.62761052896</v>
      </c>
    </row>
    <row r="13" spans="1:21" ht="15">
      <c r="A13" s="5">
        <v>38991</v>
      </c>
      <c r="B13" s="6">
        <v>30684</v>
      </c>
      <c r="C13" s="6">
        <v>29256</v>
      </c>
      <c r="D13" s="6">
        <v>34764</v>
      </c>
      <c r="E13" s="6">
        <v>301628</v>
      </c>
      <c r="F13" s="6">
        <v>18288</v>
      </c>
      <c r="G13" s="6">
        <v>5332</v>
      </c>
      <c r="H13" s="6">
        <v>10892</v>
      </c>
      <c r="I13" s="6">
        <v>2932</v>
      </c>
      <c r="J13" s="6">
        <v>14472</v>
      </c>
      <c r="K13" s="6"/>
      <c r="L13" s="6">
        <f>B13*inclusion!B$18</f>
        <v>29659.1544</v>
      </c>
      <c r="M13" s="6">
        <f>C13*inclusion!C$18</f>
        <v>27317.79</v>
      </c>
      <c r="N13" s="6">
        <f>D13*inclusion!D$18</f>
        <v>30468.039730770564</v>
      </c>
      <c r="O13" s="6">
        <f>E13*inclusion!E$18</f>
        <v>178736.38156424137</v>
      </c>
      <c r="P13" s="6">
        <f>F13*inclusion!F$18</f>
        <v>17076.42</v>
      </c>
      <c r="Q13" s="6">
        <f>G13*inclusion!G$18</f>
        <v>4673.098258096556</v>
      </c>
      <c r="R13" s="6">
        <f>H13*inclusion!H$18</f>
        <v>10170.404999999999</v>
      </c>
      <c r="S13" s="6">
        <f>I13*inclusion!I$18</f>
        <v>2737.755</v>
      </c>
      <c r="T13" s="6">
        <f>J13*inclusion!J$18</f>
        <v>13513.23</v>
      </c>
      <c r="U13" s="6">
        <f t="shared" si="0"/>
        <v>314352.27395310847</v>
      </c>
    </row>
    <row r="14" spans="1:21" ht="15">
      <c r="A14" s="5">
        <v>39083</v>
      </c>
      <c r="B14" s="6">
        <v>31724</v>
      </c>
      <c r="C14" s="6">
        <v>30456</v>
      </c>
      <c r="D14" s="6">
        <v>35936</v>
      </c>
      <c r="E14" s="6">
        <v>331940</v>
      </c>
      <c r="F14" s="6">
        <v>18204</v>
      </c>
      <c r="G14" s="6">
        <v>5356</v>
      </c>
      <c r="H14" s="6">
        <v>11468</v>
      </c>
      <c r="I14" s="6">
        <v>2826</v>
      </c>
      <c r="J14" s="6">
        <v>14484</v>
      </c>
      <c r="K14" s="6"/>
      <c r="L14" s="6">
        <f>B14*inclusion!B$18</f>
        <v>30664.4184</v>
      </c>
      <c r="M14" s="6">
        <f>C14*inclusion!C$18</f>
        <v>28438.29</v>
      </c>
      <c r="N14" s="6">
        <f>D14*inclusion!D$18</f>
        <v>31495.20986552097</v>
      </c>
      <c r="O14" s="6">
        <f>E14*inclusion!E$18</f>
        <v>196698.4314998418</v>
      </c>
      <c r="P14" s="6">
        <f>F14*inclusion!F$18</f>
        <v>16997.985</v>
      </c>
      <c r="Q14" s="6">
        <f>G14*inclusion!G$18</f>
        <v>4694.132458808168</v>
      </c>
      <c r="R14" s="6">
        <f>H14*inclusion!H$18</f>
        <v>10708.244999999999</v>
      </c>
      <c r="S14" s="6">
        <f>I14*inclusion!I$18</f>
        <v>2638.7774999999997</v>
      </c>
      <c r="T14" s="6">
        <f>J14*inclusion!J$18</f>
        <v>13524.435</v>
      </c>
      <c r="U14" s="6">
        <f t="shared" si="0"/>
        <v>335859.924724171</v>
      </c>
    </row>
    <row r="15" spans="1:21" ht="15">
      <c r="A15" s="5">
        <v>39173</v>
      </c>
      <c r="B15" s="6">
        <v>30964</v>
      </c>
      <c r="C15" s="6">
        <v>30400</v>
      </c>
      <c r="D15" s="6">
        <v>36480</v>
      </c>
      <c r="E15" s="6">
        <v>313756</v>
      </c>
      <c r="F15" s="6">
        <v>18232</v>
      </c>
      <c r="G15" s="6">
        <v>5392</v>
      </c>
      <c r="H15" s="6">
        <v>11932</v>
      </c>
      <c r="I15" s="6">
        <v>2705</v>
      </c>
      <c r="J15" s="6">
        <v>14628</v>
      </c>
      <c r="K15" s="6"/>
      <c r="L15" s="6">
        <f>B15*inclusion!B$18</f>
        <v>29929.8024</v>
      </c>
      <c r="M15" s="6">
        <f>C15*inclusion!C$18</f>
        <v>28386</v>
      </c>
      <c r="N15" s="6">
        <f>D15*inclusion!D$18</f>
        <v>31971.98508165085</v>
      </c>
      <c r="O15" s="6">
        <f>E15*inclusion!E$18</f>
        <v>185923.0977696703</v>
      </c>
      <c r="P15" s="6">
        <f>F15*inclusion!F$18</f>
        <v>17024.13</v>
      </c>
      <c r="Q15" s="6">
        <f>G15*inclusion!G$18</f>
        <v>4725.6837598755865</v>
      </c>
      <c r="R15" s="6">
        <f>H15*inclusion!H$18</f>
        <v>11141.505</v>
      </c>
      <c r="S15" s="6">
        <f>I15*inclusion!I$18</f>
        <v>2525.79375</v>
      </c>
      <c r="T15" s="6">
        <f>J15*inclusion!J$18</f>
        <v>13658.895</v>
      </c>
      <c r="U15" s="6">
        <f t="shared" si="0"/>
        <v>325286.89276119677</v>
      </c>
    </row>
    <row r="16" spans="1:21" ht="15">
      <c r="A16" s="5">
        <v>39264</v>
      </c>
      <c r="B16" s="6">
        <v>33200</v>
      </c>
      <c r="C16" s="6">
        <v>30300</v>
      </c>
      <c r="D16" s="6">
        <v>37224</v>
      </c>
      <c r="E16" s="6">
        <v>318768</v>
      </c>
      <c r="F16" s="6">
        <v>18352</v>
      </c>
      <c r="G16" s="6">
        <v>5424</v>
      </c>
      <c r="H16" s="6">
        <v>12268</v>
      </c>
      <c r="I16" s="6">
        <v>2637</v>
      </c>
      <c r="J16" s="6">
        <v>14812</v>
      </c>
      <c r="K16" s="6"/>
      <c r="L16" s="6">
        <f>B16*inclusion!B$18</f>
        <v>32091.12</v>
      </c>
      <c r="M16" s="6">
        <f>C16*inclusion!C$18</f>
        <v>28292.625</v>
      </c>
      <c r="N16" s="6">
        <f>D16*inclusion!D$18</f>
        <v>32624.045303710835</v>
      </c>
      <c r="O16" s="6">
        <f>E16*inclusion!E$18</f>
        <v>188893.06986907744</v>
      </c>
      <c r="P16" s="6">
        <f>F16*inclusion!F$18</f>
        <v>17136.18</v>
      </c>
      <c r="Q16" s="6">
        <f>G16*inclusion!G$18</f>
        <v>4753.729360824403</v>
      </c>
      <c r="R16" s="6">
        <f>H16*inclusion!H$18</f>
        <v>11455.244999999999</v>
      </c>
      <c r="S16" s="6">
        <f>I16*inclusion!I$18</f>
        <v>2462.29875</v>
      </c>
      <c r="T16" s="6">
        <f>J16*inclusion!J$18</f>
        <v>13830.705</v>
      </c>
      <c r="U16" s="6">
        <f t="shared" si="0"/>
        <v>331539.0182836127</v>
      </c>
    </row>
    <row r="17" spans="1:21" ht="15">
      <c r="A17" s="5">
        <v>39356</v>
      </c>
      <c r="B17" s="6">
        <v>35068</v>
      </c>
      <c r="C17" s="6">
        <v>32524</v>
      </c>
      <c r="D17" s="6">
        <v>37880</v>
      </c>
      <c r="E17" s="6">
        <v>331792</v>
      </c>
      <c r="F17" s="6">
        <v>18548</v>
      </c>
      <c r="G17" s="6">
        <v>5448</v>
      </c>
      <c r="H17" s="6">
        <v>12472</v>
      </c>
      <c r="I17" s="6">
        <v>2756</v>
      </c>
      <c r="J17" s="6">
        <v>15096</v>
      </c>
      <c r="K17" s="6"/>
      <c r="L17" s="6">
        <f>B17*inclusion!B$18</f>
        <v>33896.7288</v>
      </c>
      <c r="M17" s="6">
        <f>C17*inclusion!C$18</f>
        <v>30369.285</v>
      </c>
      <c r="N17" s="6">
        <f>D17*inclusion!D$18</f>
        <v>33198.98012316157</v>
      </c>
      <c r="O17" s="6">
        <f>E17*inclusion!E$18</f>
        <v>196610.73080736128</v>
      </c>
      <c r="P17" s="6">
        <f>F17*inclusion!F$18</f>
        <v>17319.195</v>
      </c>
      <c r="Q17" s="6">
        <f>G17*inclusion!G$18</f>
        <v>4774.763561536015</v>
      </c>
      <c r="R17" s="6">
        <f>H17*inclusion!H$18</f>
        <v>11645.73</v>
      </c>
      <c r="S17" s="6">
        <f>I17*inclusion!I$18</f>
        <v>2573.415</v>
      </c>
      <c r="T17" s="6">
        <f>J17*inclusion!J$18</f>
        <v>14095.89</v>
      </c>
      <c r="U17" s="6">
        <f t="shared" si="0"/>
        <v>344484.71829205885</v>
      </c>
    </row>
    <row r="18" spans="1:21" ht="15">
      <c r="A18" s="5">
        <v>39448</v>
      </c>
      <c r="B18" s="6">
        <v>36748</v>
      </c>
      <c r="C18" s="6">
        <v>33300</v>
      </c>
      <c r="D18" s="6">
        <v>37688</v>
      </c>
      <c r="E18" s="6">
        <v>331352</v>
      </c>
      <c r="F18" s="6">
        <v>18788</v>
      </c>
      <c r="G18" s="6">
        <v>5436</v>
      </c>
      <c r="H18" s="6">
        <v>12812</v>
      </c>
      <c r="I18" s="6">
        <v>3048</v>
      </c>
      <c r="J18" s="6">
        <v>15576</v>
      </c>
      <c r="K18" s="6"/>
      <c r="L18" s="6">
        <f>B18*inclusion!B$18</f>
        <v>35520.6168</v>
      </c>
      <c r="M18" s="6">
        <f>C18*inclusion!C$18</f>
        <v>31093.875</v>
      </c>
      <c r="N18" s="6">
        <f>D18*inclusion!D$18</f>
        <v>33030.70651746867</v>
      </c>
      <c r="O18" s="6">
        <f>E18*inclusion!E$18</f>
        <v>196349.99901890577</v>
      </c>
      <c r="P18" s="6">
        <f>F18*inclusion!F$18</f>
        <v>17543.295</v>
      </c>
      <c r="Q18" s="6">
        <f>G18*inclusion!G$18</f>
        <v>4764.246461180209</v>
      </c>
      <c r="R18" s="6">
        <f>H18*inclusion!H$18</f>
        <v>11963.205</v>
      </c>
      <c r="S18" s="6">
        <f>I18*inclusion!I$18</f>
        <v>2846.0699999999997</v>
      </c>
      <c r="T18" s="6">
        <f>J18*inclusion!J$18</f>
        <v>14544.09</v>
      </c>
      <c r="U18" s="6">
        <f t="shared" si="0"/>
        <v>347656.1037975547</v>
      </c>
    </row>
    <row r="19" spans="1:21" ht="15">
      <c r="A19" s="5">
        <v>39539</v>
      </c>
      <c r="B19" s="6">
        <v>37816</v>
      </c>
      <c r="C19" s="6">
        <v>34244</v>
      </c>
      <c r="D19" s="6">
        <v>38460</v>
      </c>
      <c r="E19" s="6">
        <v>338424</v>
      </c>
      <c r="F19" s="6">
        <v>19060</v>
      </c>
      <c r="G19" s="6">
        <v>5460</v>
      </c>
      <c r="H19" s="6">
        <v>13304</v>
      </c>
      <c r="I19" s="6">
        <v>3192</v>
      </c>
      <c r="J19" s="6">
        <v>16024</v>
      </c>
      <c r="K19" s="6"/>
      <c r="L19" s="6">
        <f>B19*inclusion!B$18</f>
        <v>36552.9456</v>
      </c>
      <c r="M19" s="6">
        <f>C19*inclusion!C$18</f>
        <v>31975.335</v>
      </c>
      <c r="N19" s="6">
        <f>D19*inclusion!D$18</f>
        <v>33707.306640358875</v>
      </c>
      <c r="O19" s="6">
        <f>E19*inclusion!E$18</f>
        <v>200540.669946082</v>
      </c>
      <c r="P19" s="6">
        <f>F19*inclusion!F$18</f>
        <v>17797.274999999998</v>
      </c>
      <c r="Q19" s="6">
        <f>G19*inclusion!G$18</f>
        <v>4785.280661891821</v>
      </c>
      <c r="R19" s="6">
        <f>H19*inclusion!H$18</f>
        <v>12422.609999999999</v>
      </c>
      <c r="S19" s="6">
        <f>I19*inclusion!I$18</f>
        <v>2980.5299999999997</v>
      </c>
      <c r="T19" s="6">
        <f>J19*inclusion!J$18</f>
        <v>14962.41</v>
      </c>
      <c r="U19" s="6">
        <f t="shared" si="0"/>
        <v>355724.3628483327</v>
      </c>
    </row>
    <row r="20" spans="1:21" ht="15">
      <c r="A20" s="5">
        <v>39630</v>
      </c>
      <c r="B20" s="6">
        <v>57980</v>
      </c>
      <c r="C20" s="6">
        <v>37024</v>
      </c>
      <c r="D20" s="6">
        <v>38868</v>
      </c>
      <c r="E20" s="6">
        <v>340928</v>
      </c>
      <c r="F20" s="6">
        <v>19392</v>
      </c>
      <c r="G20" s="6">
        <v>5448</v>
      </c>
      <c r="H20" s="6">
        <v>13788</v>
      </c>
      <c r="I20" s="6">
        <v>3472</v>
      </c>
      <c r="J20" s="6">
        <v>16388</v>
      </c>
      <c r="K20" s="6"/>
      <c r="L20" s="6">
        <f>B20*inclusion!B$18</f>
        <v>56043.468</v>
      </c>
      <c r="M20" s="6">
        <f>C20*inclusion!C$18</f>
        <v>34571.159999999996</v>
      </c>
      <c r="N20" s="6">
        <f>D20*inclusion!D$18</f>
        <v>34064.888052456285</v>
      </c>
      <c r="O20" s="6">
        <f>E20*inclusion!E$18</f>
        <v>202024.4708512926</v>
      </c>
      <c r="P20" s="6">
        <f>F20*inclusion!F$18</f>
        <v>18107.28</v>
      </c>
      <c r="Q20" s="6">
        <f>G20*inclusion!G$18</f>
        <v>4774.763561536015</v>
      </c>
      <c r="R20" s="6">
        <f>H20*inclusion!H$18</f>
        <v>12874.545</v>
      </c>
      <c r="S20" s="6">
        <f>I20*inclusion!I$18</f>
        <v>3241.98</v>
      </c>
      <c r="T20" s="6">
        <f>J20*inclusion!J$18</f>
        <v>15302.295</v>
      </c>
      <c r="U20" s="6">
        <f t="shared" si="0"/>
        <v>381004.85046528484</v>
      </c>
    </row>
    <row r="21" spans="1:21" ht="15">
      <c r="A21" s="5">
        <v>39722</v>
      </c>
      <c r="B21" s="6">
        <v>71192</v>
      </c>
      <c r="C21" s="6">
        <v>43568</v>
      </c>
      <c r="D21" s="6">
        <v>39584</v>
      </c>
      <c r="E21" s="6">
        <v>342228</v>
      </c>
      <c r="F21" s="6">
        <v>19780</v>
      </c>
      <c r="G21" s="6">
        <v>5464</v>
      </c>
      <c r="H21" s="6">
        <v>13196</v>
      </c>
      <c r="I21" s="6">
        <v>3960</v>
      </c>
      <c r="J21" s="6">
        <v>16604</v>
      </c>
      <c r="K21" s="6"/>
      <c r="L21" s="6">
        <f>B21*inclusion!B$18</f>
        <v>68814.1872</v>
      </c>
      <c r="M21" s="6">
        <f>C21*inclusion!C$18</f>
        <v>40681.619999999995</v>
      </c>
      <c r="N21" s="6">
        <f>D21*inclusion!D$18</f>
        <v>34692.408373686056</v>
      </c>
      <c r="O21" s="6">
        <f>E21*inclusion!E$18</f>
        <v>202794.8147717294</v>
      </c>
      <c r="P21" s="6">
        <f>F21*inclusion!F$18</f>
        <v>18469.575</v>
      </c>
      <c r="Q21" s="6">
        <f>G21*inclusion!G$18</f>
        <v>4788.7863620104235</v>
      </c>
      <c r="R21" s="6">
        <f>H21*inclusion!H$18</f>
        <v>12321.765</v>
      </c>
      <c r="S21" s="6">
        <f>I21*inclusion!I$18</f>
        <v>3697.65</v>
      </c>
      <c r="T21" s="6">
        <f>J21*inclusion!J$18</f>
        <v>15503.984999999999</v>
      </c>
      <c r="U21" s="6">
        <f t="shared" si="0"/>
        <v>401764.7917074259</v>
      </c>
    </row>
    <row r="22" spans="1:21" ht="15">
      <c r="A22" s="5">
        <v>39814</v>
      </c>
      <c r="B22" s="6">
        <v>101080</v>
      </c>
      <c r="C22" s="6">
        <v>44388</v>
      </c>
      <c r="D22" s="6">
        <v>41376</v>
      </c>
      <c r="E22" s="6">
        <v>362040</v>
      </c>
      <c r="F22" s="6">
        <v>20188</v>
      </c>
      <c r="G22" s="6">
        <v>5476</v>
      </c>
      <c r="H22" s="6">
        <v>13012</v>
      </c>
      <c r="I22" s="6">
        <v>4396</v>
      </c>
      <c r="J22" s="6">
        <v>16748</v>
      </c>
      <c r="K22" s="6"/>
      <c r="L22" s="6">
        <f>B22*inclusion!B$18</f>
        <v>97703.928</v>
      </c>
      <c r="M22" s="6">
        <f>C22*inclusion!C$18</f>
        <v>41447.295</v>
      </c>
      <c r="N22" s="6">
        <f>D22*inclusion!D$18</f>
        <v>36262.96202681978</v>
      </c>
      <c r="O22" s="6">
        <f>E22*inclusion!E$18</f>
        <v>214534.85611918636</v>
      </c>
      <c r="P22" s="6">
        <f>F22*inclusion!F$18</f>
        <v>18850.545</v>
      </c>
      <c r="Q22" s="6">
        <f>G22*inclusion!G$18</f>
        <v>4799.30346236623</v>
      </c>
      <c r="R22" s="6">
        <f>H22*inclusion!H$18</f>
        <v>12149.955</v>
      </c>
      <c r="S22" s="6">
        <f>I22*inclusion!I$18</f>
        <v>4104.764999999999</v>
      </c>
      <c r="T22" s="6">
        <f>J22*inclusion!J$18</f>
        <v>15638.445</v>
      </c>
      <c r="U22" s="6">
        <f t="shared" si="0"/>
        <v>445492.0546083724</v>
      </c>
    </row>
    <row r="23" spans="1:21" ht="15">
      <c r="A23" s="5">
        <v>39904</v>
      </c>
      <c r="B23" s="6">
        <v>127924</v>
      </c>
      <c r="C23" s="6">
        <v>55008</v>
      </c>
      <c r="D23" s="6">
        <v>42216</v>
      </c>
      <c r="E23" s="6">
        <v>373292</v>
      </c>
      <c r="F23" s="6">
        <v>20512</v>
      </c>
      <c r="G23" s="6">
        <v>5188</v>
      </c>
      <c r="H23" s="6">
        <v>13036</v>
      </c>
      <c r="I23" s="6">
        <v>5016</v>
      </c>
      <c r="J23" s="6">
        <v>16816</v>
      </c>
      <c r="K23" s="6"/>
      <c r="L23" s="6">
        <f>B23*inclusion!B$18</f>
        <v>123651.33840000001</v>
      </c>
      <c r="M23" s="6">
        <f>C23*inclusion!C$18</f>
        <v>51363.72</v>
      </c>
      <c r="N23" s="6">
        <f>D23*inclusion!D$18</f>
        <v>36999.159051726216</v>
      </c>
      <c r="O23" s="6">
        <f>E23*inclusion!E$18</f>
        <v>221202.4790366902</v>
      </c>
      <c r="P23" s="6">
        <f>F23*inclusion!F$18</f>
        <v>19153.079999999998</v>
      </c>
      <c r="Q23" s="6">
        <f>G23*inclusion!G$18</f>
        <v>4546.8930538268805</v>
      </c>
      <c r="R23" s="6">
        <f>H23*inclusion!H$18</f>
        <v>12172.365</v>
      </c>
      <c r="S23" s="6">
        <f>I23*inclusion!I$18</f>
        <v>4683.69</v>
      </c>
      <c r="T23" s="6">
        <f>J23*inclusion!J$18</f>
        <v>15701.939999999999</v>
      </c>
      <c r="U23" s="6">
        <f t="shared" si="0"/>
        <v>489474.6645422433</v>
      </c>
    </row>
    <row r="24" spans="1:21" ht="15">
      <c r="A24" s="5">
        <v>39995</v>
      </c>
      <c r="B24" s="6">
        <v>144768</v>
      </c>
      <c r="C24" s="6">
        <v>58192</v>
      </c>
      <c r="D24" s="6">
        <v>43044</v>
      </c>
      <c r="E24" s="6">
        <v>383100</v>
      </c>
      <c r="F24" s="6">
        <v>20716</v>
      </c>
      <c r="G24" s="6">
        <v>4752</v>
      </c>
      <c r="H24" s="6">
        <v>13220</v>
      </c>
      <c r="I24" s="6">
        <v>5484</v>
      </c>
      <c r="J24" s="6">
        <v>16900</v>
      </c>
      <c r="K24" s="6"/>
      <c r="L24" s="6">
        <f>B24*inclusion!B$18</f>
        <v>139932.7488</v>
      </c>
      <c r="M24" s="6">
        <f>C24*inclusion!C$18</f>
        <v>54336.78</v>
      </c>
      <c r="N24" s="6">
        <f>D24*inclusion!D$18</f>
        <v>37724.83897627684</v>
      </c>
      <c r="O24" s="6">
        <f>E24*inclusion!E$18</f>
        <v>227014.42763026268</v>
      </c>
      <c r="P24" s="6">
        <f>F24*inclusion!F$18</f>
        <v>19343.565</v>
      </c>
      <c r="Q24" s="6">
        <f>G24*inclusion!G$18</f>
        <v>4164.771740899256</v>
      </c>
      <c r="R24" s="6">
        <f>H24*inclusion!H$18</f>
        <v>12344.175</v>
      </c>
      <c r="S24" s="6">
        <f>I24*inclusion!I$18</f>
        <v>5120.6849999999995</v>
      </c>
      <c r="T24" s="6">
        <f>J24*inclusion!J$18</f>
        <v>15780.375</v>
      </c>
      <c r="U24" s="6">
        <f t="shared" si="0"/>
        <v>515762.36714743875</v>
      </c>
    </row>
    <row r="25" spans="1:21" ht="15">
      <c r="A25" s="5">
        <v>40087</v>
      </c>
      <c r="B25" s="6">
        <v>148676</v>
      </c>
      <c r="C25" s="6">
        <v>61464</v>
      </c>
      <c r="D25" s="6">
        <v>43852</v>
      </c>
      <c r="E25" s="6">
        <v>378024</v>
      </c>
      <c r="F25" s="6">
        <v>20800</v>
      </c>
      <c r="G25" s="6">
        <v>4660</v>
      </c>
      <c r="H25" s="6">
        <v>13536</v>
      </c>
      <c r="I25" s="6">
        <v>5364</v>
      </c>
      <c r="J25" s="6">
        <v>16940</v>
      </c>
      <c r="K25" s="6"/>
      <c r="L25" s="6">
        <f>B25*inclusion!B$18</f>
        <v>143710.2216</v>
      </c>
      <c r="M25" s="6">
        <f>C25*inclusion!C$18</f>
        <v>57392.009999999995</v>
      </c>
      <c r="N25" s="6">
        <f>D25*inclusion!D$18</f>
        <v>38432.990400234456</v>
      </c>
      <c r="O25" s="6">
        <f>E25*inclusion!E$18</f>
        <v>224006.5309070802</v>
      </c>
      <c r="P25" s="6">
        <f>F25*inclusion!F$18</f>
        <v>19422</v>
      </c>
      <c r="Q25" s="6">
        <f>G25*inclusion!G$18</f>
        <v>4084.1406381714078</v>
      </c>
      <c r="R25" s="6">
        <f>H25*inclusion!H$18</f>
        <v>12639.24</v>
      </c>
      <c r="S25" s="6">
        <f>I25*inclusion!I$18</f>
        <v>5008.635</v>
      </c>
      <c r="T25" s="6">
        <f>J25*inclusion!J$18</f>
        <v>15817.725</v>
      </c>
      <c r="U25" s="6">
        <f t="shared" si="0"/>
        <v>520513.49354548607</v>
      </c>
    </row>
    <row r="26" spans="1:21" ht="15">
      <c r="A26" s="5">
        <v>40179</v>
      </c>
      <c r="B26" s="6">
        <v>152756</v>
      </c>
      <c r="C26" s="6">
        <v>63436</v>
      </c>
      <c r="D26" s="6">
        <v>43200</v>
      </c>
      <c r="E26" s="6">
        <v>386632</v>
      </c>
      <c r="F26" s="6">
        <v>20780</v>
      </c>
      <c r="G26" s="6">
        <v>4624</v>
      </c>
      <c r="H26" s="6">
        <v>14068</v>
      </c>
      <c r="I26" s="6">
        <v>5124</v>
      </c>
      <c r="J26" s="6">
        <v>16960</v>
      </c>
      <c r="K26" s="6"/>
      <c r="L26" s="6">
        <f>B26*inclusion!B$18</f>
        <v>147653.9496</v>
      </c>
      <c r="M26" s="6">
        <f>C26*inclusion!C$18</f>
        <v>59233.365</v>
      </c>
      <c r="N26" s="6">
        <f>D26*inclusion!D$18</f>
        <v>37861.56128090232</v>
      </c>
      <c r="O26" s="6">
        <f>E26*inclusion!E$18</f>
        <v>229107.39280486482</v>
      </c>
      <c r="P26" s="6">
        <f>F26*inclusion!F$18</f>
        <v>19403.325</v>
      </c>
      <c r="Q26" s="6">
        <f>G26*inclusion!G$18</f>
        <v>4052.5893371039892</v>
      </c>
      <c r="R26" s="6">
        <f>H26*inclusion!H$18</f>
        <v>13135.994999999999</v>
      </c>
      <c r="S26" s="6">
        <f>I26*inclusion!I$18</f>
        <v>4784.535</v>
      </c>
      <c r="T26" s="6">
        <f>J26*inclusion!J$18</f>
        <v>15836.4</v>
      </c>
      <c r="U26" s="6">
        <f t="shared" si="0"/>
        <v>531069.1130228711</v>
      </c>
    </row>
    <row r="27" spans="1:21" ht="15">
      <c r="A27" s="5">
        <v>40269</v>
      </c>
      <c r="B27" s="6">
        <v>137392</v>
      </c>
      <c r="C27" s="6">
        <v>65136</v>
      </c>
      <c r="D27" s="6">
        <v>43844</v>
      </c>
      <c r="E27" s="6">
        <v>389784</v>
      </c>
      <c r="F27" s="6">
        <v>20724</v>
      </c>
      <c r="G27" s="6">
        <v>4636</v>
      </c>
      <c r="H27" s="6">
        <v>14548</v>
      </c>
      <c r="I27" s="6">
        <v>4796</v>
      </c>
      <c r="J27" s="6">
        <v>16956</v>
      </c>
      <c r="K27" s="6"/>
      <c r="L27" s="6">
        <f>B27*inclusion!B$18</f>
        <v>132803.1072</v>
      </c>
      <c r="M27" s="6">
        <f>C27*inclusion!C$18</f>
        <v>60820.74</v>
      </c>
      <c r="N27" s="6">
        <f>D27*inclusion!D$18</f>
        <v>38425.978999997256</v>
      </c>
      <c r="O27" s="6">
        <f>E27*inclusion!E$18</f>
        <v>230975.18052580085</v>
      </c>
      <c r="P27" s="6">
        <f>F27*inclusion!F$18</f>
        <v>19351.035</v>
      </c>
      <c r="Q27" s="6">
        <f>G27*inclusion!G$18</f>
        <v>4063.1064374597954</v>
      </c>
      <c r="R27" s="6">
        <f>H27*inclusion!H$18</f>
        <v>13584.195</v>
      </c>
      <c r="S27" s="6">
        <f>I27*inclusion!I$18</f>
        <v>4478.264999999999</v>
      </c>
      <c r="T27" s="6">
        <f>J27*inclusion!J$18</f>
        <v>15832.664999999999</v>
      </c>
      <c r="U27" s="6">
        <f t="shared" si="0"/>
        <v>520334.2731632579</v>
      </c>
    </row>
    <row r="28" spans="1:21" ht="15">
      <c r="A28" s="5">
        <v>40360</v>
      </c>
      <c r="B28" s="6">
        <v>135840</v>
      </c>
      <c r="C28" s="6">
        <v>67828</v>
      </c>
      <c r="D28" s="6">
        <v>44764</v>
      </c>
      <c r="E28" s="6">
        <v>405216</v>
      </c>
      <c r="F28" s="6">
        <v>20640</v>
      </c>
      <c r="G28" s="6">
        <v>4660</v>
      </c>
      <c r="H28" s="6">
        <v>14916</v>
      </c>
      <c r="I28" s="6">
        <v>4900</v>
      </c>
      <c r="J28" s="6">
        <v>16940</v>
      </c>
      <c r="K28" s="6"/>
      <c r="L28" s="6">
        <f>B28*inclusion!B$18</f>
        <v>131302.944</v>
      </c>
      <c r="M28" s="6">
        <f>C28*inclusion!C$18</f>
        <v>63334.395</v>
      </c>
      <c r="N28" s="6">
        <f>D28*inclusion!D$18</f>
        <v>39232.29002727573</v>
      </c>
      <c r="O28" s="6">
        <f>E28*inclusion!E$18</f>
        <v>240119.75543363226</v>
      </c>
      <c r="P28" s="6">
        <f>F28*inclusion!F$18</f>
        <v>19272.6</v>
      </c>
      <c r="Q28" s="6">
        <f>G28*inclusion!G$18</f>
        <v>4084.1406381714078</v>
      </c>
      <c r="R28" s="6">
        <f>H28*inclusion!H$18</f>
        <v>13927.814999999999</v>
      </c>
      <c r="S28" s="6">
        <f>I28*inclusion!I$18</f>
        <v>4575.375</v>
      </c>
      <c r="T28" s="6">
        <f>J28*inclusion!J$18</f>
        <v>15817.725</v>
      </c>
      <c r="U28" s="6">
        <f t="shared" si="0"/>
        <v>531667.0400990794</v>
      </c>
    </row>
    <row r="29" spans="1:21" ht="15">
      <c r="A29" s="5">
        <v>40452</v>
      </c>
      <c r="B29" s="6">
        <v>128696</v>
      </c>
      <c r="C29" s="6">
        <v>69656</v>
      </c>
      <c r="D29" s="6">
        <v>45416</v>
      </c>
      <c r="E29" s="6">
        <v>439840</v>
      </c>
      <c r="F29" s="6">
        <v>20528</v>
      </c>
      <c r="G29" s="6">
        <v>4664</v>
      </c>
      <c r="H29" s="6">
        <v>14628</v>
      </c>
      <c r="I29" s="6">
        <v>4680</v>
      </c>
      <c r="J29" s="6">
        <v>16912</v>
      </c>
      <c r="K29" s="6"/>
      <c r="L29" s="6">
        <f>B29*inclusion!B$18</f>
        <v>124397.5536</v>
      </c>
      <c r="M29" s="6">
        <f>C29*inclusion!C$18</f>
        <v>65041.29</v>
      </c>
      <c r="N29" s="6">
        <f>D29*inclusion!D$18</f>
        <v>39803.719146607866</v>
      </c>
      <c r="O29" s="6">
        <f>E29*inclusion!E$18</f>
        <v>260636.97689609692</v>
      </c>
      <c r="P29" s="6">
        <f>F29*inclusion!F$18</f>
        <v>19168.02</v>
      </c>
      <c r="Q29" s="6">
        <f>G29*inclusion!G$18</f>
        <v>4087.64633829001</v>
      </c>
      <c r="R29" s="6">
        <f>H29*inclusion!H$18</f>
        <v>13658.895</v>
      </c>
      <c r="S29" s="6">
        <f>I29*inclusion!I$18</f>
        <v>4369.95</v>
      </c>
      <c r="T29" s="6">
        <f>J29*inclusion!J$18</f>
        <v>15791.58</v>
      </c>
      <c r="U29" s="6">
        <f t="shared" si="0"/>
        <v>546955.6309809947</v>
      </c>
    </row>
    <row r="30" spans="1:21" ht="15">
      <c r="A30" s="5">
        <v>40544</v>
      </c>
      <c r="B30" s="6">
        <v>117468</v>
      </c>
      <c r="C30" s="6">
        <v>70700</v>
      </c>
      <c r="D30" s="6">
        <v>44732</v>
      </c>
      <c r="E30" s="6">
        <v>432064</v>
      </c>
      <c r="F30" s="6">
        <v>20404</v>
      </c>
      <c r="G30" s="6">
        <v>4656</v>
      </c>
      <c r="H30" s="6">
        <v>14488</v>
      </c>
      <c r="I30" s="6">
        <v>4646</v>
      </c>
      <c r="J30" s="6">
        <v>16944</v>
      </c>
      <c r="K30" s="6"/>
      <c r="L30" s="6">
        <f>B30*inclusion!B$18</f>
        <v>113544.56880000001</v>
      </c>
      <c r="M30" s="6">
        <f>C30*inclusion!C$18</f>
        <v>66016.125</v>
      </c>
      <c r="N30" s="6">
        <f>D30*inclusion!D$18</f>
        <v>39204.24442632691</v>
      </c>
      <c r="O30" s="6">
        <f>E30*inclusion!E$18</f>
        <v>256029.13510739183</v>
      </c>
      <c r="P30" s="6">
        <f>F30*inclusion!F$18</f>
        <v>19052.235</v>
      </c>
      <c r="Q30" s="6">
        <f>G30*inclusion!G$18</f>
        <v>4080.634938052806</v>
      </c>
      <c r="R30" s="6">
        <f>H30*inclusion!H$18</f>
        <v>13528.17</v>
      </c>
      <c r="S30" s="6">
        <f>I30*inclusion!I$18</f>
        <v>4338.202499999999</v>
      </c>
      <c r="T30" s="6">
        <f>J30*inclusion!J$18</f>
        <v>15821.46</v>
      </c>
      <c r="U30" s="6">
        <f t="shared" si="0"/>
        <v>531614.7757717716</v>
      </c>
    </row>
    <row r="31" spans="1:21" ht="15">
      <c r="A31" s="5">
        <v>40634</v>
      </c>
      <c r="B31" s="6">
        <v>107256</v>
      </c>
      <c r="C31" s="6">
        <v>71616</v>
      </c>
      <c r="D31" s="6">
        <v>45248</v>
      </c>
      <c r="E31" s="6">
        <v>437616</v>
      </c>
      <c r="F31" s="6">
        <v>20296</v>
      </c>
      <c r="G31" s="6">
        <v>4672</v>
      </c>
      <c r="H31" s="6">
        <v>14616</v>
      </c>
      <c r="I31" s="6">
        <v>4619</v>
      </c>
      <c r="J31" s="6">
        <v>16968</v>
      </c>
      <c r="K31" s="6"/>
      <c r="L31" s="6">
        <f>B31*inclusion!B$18</f>
        <v>103673.6496</v>
      </c>
      <c r="M31" s="6">
        <f>C31*inclusion!C$18</f>
        <v>66871.44</v>
      </c>
      <c r="N31" s="6">
        <f>D31*inclusion!D$18</f>
        <v>39656.47974162658</v>
      </c>
      <c r="O31" s="6">
        <f>E31*inclusion!E$18</f>
        <v>259319.0962199035</v>
      </c>
      <c r="P31" s="6">
        <f>F31*inclusion!F$18</f>
        <v>18951.39</v>
      </c>
      <c r="Q31" s="6">
        <f>G31*inclusion!G$18</f>
        <v>4094.657738527214</v>
      </c>
      <c r="R31" s="6">
        <f>H31*inclusion!H$18</f>
        <v>13647.689999999999</v>
      </c>
      <c r="S31" s="6">
        <f>I31*inclusion!I$18</f>
        <v>4312.99125</v>
      </c>
      <c r="T31" s="6">
        <f>J31*inclusion!J$18</f>
        <v>15843.869999999999</v>
      </c>
      <c r="U31" s="6">
        <f t="shared" si="0"/>
        <v>526371.2645500574</v>
      </c>
    </row>
  </sheetData>
  <sheetProtection/>
  <mergeCells count="6">
    <mergeCell ref="B5:J5"/>
    <mergeCell ref="B7:D7"/>
    <mergeCell ref="E7:J7"/>
    <mergeCell ref="L7:N7"/>
    <mergeCell ref="O7:T7"/>
    <mergeCell ref="L5:U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Casey B. Mulligan</dc:creator>
  <cp:keywords/>
  <dc:description/>
  <cp:lastModifiedBy>Casey Mulligan</cp:lastModifiedBy>
  <cp:lastPrinted>2011-11-29T22:47:34Z</cp:lastPrinted>
  <dcterms:created xsi:type="dcterms:W3CDTF">2011-08-22T15:07:17Z</dcterms:created>
  <dcterms:modified xsi:type="dcterms:W3CDTF">2011-12-03T16:28:20Z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